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41738069\Desktop\2018\IV TRIMES 2018\DOCUMENTOS 01 FEB 2019\"/>
    </mc:Choice>
  </mc:AlternateContent>
  <bookViews>
    <workbookView xWindow="0" yWindow="0" windowWidth="28800" windowHeight="11310"/>
  </bookViews>
  <sheets>
    <sheet name="ANEXO 1_EP" sheetId="4" r:id="rId1"/>
    <sheet name="ANEXO 2_EP" sheetId="5" r:id="rId2"/>
    <sheet name="ANEXO 3_RESERVA" sheetId="6" r:id="rId3"/>
    <sheet name="ANEXO 4_PEI" sheetId="11" r:id="rId4"/>
    <sheet name="ANEXO 5_SINERGIA" sheetId="10" r:id="rId5"/>
  </sheets>
  <externalReferences>
    <externalReference r:id="rId6"/>
    <externalReference r:id="rId7"/>
    <externalReference r:id="rId8"/>
  </externalReferences>
  <definedNames>
    <definedName name="_xlnm._FilterDatabase" localSheetId="0" hidden="1">'ANEXO 1_EP'!$A$5:$K$52</definedName>
    <definedName name="_xlnm._FilterDatabase" localSheetId="1" hidden="1">'ANEXO 2_EP'!$A$5:$J$44</definedName>
    <definedName name="_xlnm._FilterDatabase" localSheetId="3" hidden="1">'ANEXO 4_PEI'!$A$2:$L$24</definedName>
    <definedName name="AnclajeTabla">[1]!Lista[[#Headers],[ ]]</definedName>
    <definedName name="año">[2]Listas!$M$2:$M$8</definedName>
    <definedName name="Cuenta">[2]Listas!$I$2:$I$5</definedName>
    <definedName name="Despacho">[2]Listas!$E$2:$E$4</definedName>
    <definedName name="dia">[2]Listas!$L$2:$L$34</definedName>
    <definedName name="entidad">[2]Listas!$A$2:$A$35</definedName>
    <definedName name="EXCEL">[1]!Lista[[#Headers],[ ]]</definedName>
    <definedName name="Fecha">[3]Listas!$L$2:$L$13</definedName>
    <definedName name="HojaProg">#REF!</definedName>
    <definedName name="Mes">[2]Listas!$G$2:$G$13</definedName>
    <definedName name="Sumar?">[2]Listas!$F$2:$F$3</definedName>
    <definedName name="Tipo_gasto">[2]Listas!$D$2:$D$3</definedName>
    <definedName name="_xlnm.Print_Titles" localSheetId="0">'ANEXO 1_EP'!$4:$5</definedName>
    <definedName name="_xlnm.Print_Titles" localSheetId="1">'ANEXO 2_EP'!$4:$5</definedName>
    <definedName name="_xlnm.Print_Titles" localSheetId="2">'ANEXO 3_RESERVA'!$4:$5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4" i="11" l="1"/>
  <c r="R26" i="11"/>
  <c r="G19" i="10" l="1"/>
  <c r="J49" i="6" l="1"/>
  <c r="J6" i="6"/>
  <c r="J48" i="6"/>
  <c r="H59" i="6"/>
  <c r="H58" i="6"/>
  <c r="H55" i="6"/>
  <c r="H52" i="6"/>
  <c r="H48" i="6"/>
  <c r="H49" i="6"/>
  <c r="H46" i="6"/>
  <c r="H44" i="6"/>
  <c r="H42" i="6"/>
  <c r="H39" i="6"/>
  <c r="H37" i="6"/>
  <c r="H34" i="6"/>
  <c r="H25" i="6"/>
  <c r="H14" i="6"/>
  <c r="H6" i="6"/>
  <c r="I59" i="6"/>
  <c r="I58" i="6"/>
  <c r="I55" i="6"/>
  <c r="I52" i="6"/>
  <c r="I48" i="6"/>
  <c r="I49" i="6"/>
  <c r="I46" i="6"/>
  <c r="I44" i="6"/>
  <c r="I42" i="6"/>
  <c r="I39" i="6"/>
  <c r="I37" i="6"/>
  <c r="I34" i="6"/>
  <c r="I25" i="6"/>
  <c r="I6" i="6"/>
  <c r="I14" i="6"/>
  <c r="R30" i="5" l="1"/>
  <c r="R38" i="5"/>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6" i="4"/>
  <c r="S7" i="5"/>
  <c r="S8" i="5"/>
  <c r="S9" i="5"/>
  <c r="S11" i="5"/>
  <c r="S12" i="5"/>
  <c r="S13" i="5"/>
  <c r="S14" i="5"/>
  <c r="S15" i="5"/>
  <c r="S16" i="5"/>
  <c r="S17" i="5"/>
  <c r="S18" i="5"/>
  <c r="S19" i="5"/>
  <c r="S20" i="5"/>
  <c r="S21" i="5"/>
  <c r="S22" i="5"/>
  <c r="S23" i="5"/>
  <c r="S24" i="5"/>
  <c r="S25" i="5"/>
  <c r="S27" i="5"/>
  <c r="S28" i="5"/>
  <c r="S29" i="5"/>
  <c r="S31" i="5"/>
  <c r="S32" i="5"/>
  <c r="S33" i="5"/>
  <c r="S34" i="5"/>
  <c r="S35" i="5"/>
  <c r="S36" i="5"/>
  <c r="S37" i="5"/>
  <c r="S39" i="5"/>
  <c r="S40" i="5"/>
  <c r="S41" i="5"/>
  <c r="S42" i="5"/>
  <c r="S43" i="5"/>
  <c r="Q7" i="5"/>
  <c r="Q8" i="5"/>
  <c r="Q9" i="5"/>
  <c r="Q11" i="5"/>
  <c r="Q12" i="5"/>
  <c r="Q13" i="5"/>
  <c r="Q14" i="5"/>
  <c r="Q15" i="5"/>
  <c r="Q16" i="5"/>
  <c r="Q17" i="5"/>
  <c r="Q18" i="5"/>
  <c r="Q19" i="5"/>
  <c r="Q20" i="5"/>
  <c r="Q21" i="5"/>
  <c r="Q22" i="5"/>
  <c r="Q23" i="5"/>
  <c r="Q24" i="5"/>
  <c r="Q25" i="5"/>
  <c r="Q27" i="5"/>
  <c r="Q28" i="5"/>
  <c r="Q29" i="5"/>
  <c r="Q31" i="5"/>
  <c r="Q32" i="5"/>
  <c r="Q33" i="5"/>
  <c r="Q34" i="5"/>
  <c r="Q35" i="5"/>
  <c r="Q36" i="5"/>
  <c r="Q37" i="5"/>
  <c r="Q39" i="5"/>
  <c r="Q40" i="5"/>
  <c r="Q41" i="5"/>
  <c r="Q42" i="5"/>
  <c r="Q43" i="5"/>
  <c r="T7" i="4"/>
  <c r="T8" i="4"/>
  <c r="T9" i="4"/>
  <c r="T10" i="4"/>
  <c r="T11" i="4"/>
  <c r="T12" i="4"/>
  <c r="T13" i="4"/>
  <c r="T14" i="4"/>
  <c r="T16" i="4"/>
  <c r="T17" i="4"/>
  <c r="T18" i="4"/>
  <c r="T19" i="4"/>
  <c r="T20" i="4"/>
  <c r="T21" i="4"/>
  <c r="T22" i="4"/>
  <c r="T23" i="4"/>
  <c r="T24" i="4"/>
  <c r="T26" i="4"/>
  <c r="T27" i="4"/>
  <c r="T28" i="4"/>
  <c r="T29" i="4"/>
  <c r="T30" i="4"/>
  <c r="T31" i="4"/>
  <c r="T32" i="4"/>
  <c r="T33" i="4"/>
  <c r="T34" i="4"/>
  <c r="T35" i="4"/>
  <c r="T36" i="4"/>
  <c r="T37" i="4"/>
  <c r="T38" i="4"/>
  <c r="T39" i="4"/>
  <c r="T40" i="4"/>
  <c r="T41" i="4"/>
  <c r="T42" i="4"/>
  <c r="T43" i="4"/>
  <c r="T44" i="4"/>
  <c r="T45" i="4"/>
  <c r="T46" i="4"/>
  <c r="T47" i="4"/>
  <c r="T48" i="4"/>
  <c r="T49" i="4"/>
  <c r="T50" i="4"/>
  <c r="T51" i="4"/>
  <c r="R52" i="4"/>
  <c r="R7" i="4"/>
  <c r="R8" i="4"/>
  <c r="R9" i="4"/>
  <c r="R10" i="4"/>
  <c r="R11" i="4"/>
  <c r="R12" i="4"/>
  <c r="R13" i="4"/>
  <c r="R14" i="4"/>
  <c r="R15" i="4"/>
  <c r="R16" i="4"/>
  <c r="R17" i="4"/>
  <c r="R18" i="4"/>
  <c r="R19" i="4"/>
  <c r="R20" i="4"/>
  <c r="R21" i="4"/>
  <c r="R22" i="4"/>
  <c r="R23" i="4"/>
  <c r="R24" i="4"/>
  <c r="R26" i="4"/>
  <c r="R27" i="4"/>
  <c r="R28" i="4"/>
  <c r="R29" i="4"/>
  <c r="R30" i="4"/>
  <c r="R31" i="4"/>
  <c r="R32" i="4"/>
  <c r="R33" i="4"/>
  <c r="R34" i="4"/>
  <c r="R35" i="4"/>
  <c r="R36" i="4"/>
  <c r="R37" i="4"/>
  <c r="R38" i="4"/>
  <c r="R39" i="4"/>
  <c r="R40" i="4"/>
  <c r="R41" i="4"/>
  <c r="R42" i="4"/>
  <c r="R43" i="4"/>
  <c r="R44" i="4"/>
  <c r="R45" i="4"/>
  <c r="R46" i="4"/>
  <c r="R47" i="4"/>
  <c r="R48" i="4"/>
  <c r="R49" i="4"/>
  <c r="R50" i="4"/>
  <c r="R51" i="4"/>
  <c r="L38" i="5" l="1"/>
  <c r="N10" i="5"/>
  <c r="L10" i="5"/>
  <c r="K10" i="5"/>
  <c r="K30" i="5"/>
  <c r="S30" i="5" s="1"/>
  <c r="S10" i="5" l="1"/>
  <c r="Q10" i="5"/>
  <c r="O43" i="5"/>
  <c r="M43" i="5"/>
  <c r="O42" i="5"/>
  <c r="M42" i="5"/>
  <c r="O41" i="5"/>
  <c r="M41" i="5"/>
  <c r="O40" i="5"/>
  <c r="M40" i="5"/>
  <c r="O39" i="5"/>
  <c r="M39" i="5"/>
  <c r="P38" i="5"/>
  <c r="Q38" i="5" s="1"/>
  <c r="N38" i="5"/>
  <c r="K38" i="5"/>
  <c r="O37" i="5"/>
  <c r="M37" i="5"/>
  <c r="O36" i="5"/>
  <c r="M36" i="5"/>
  <c r="O35" i="5"/>
  <c r="M35" i="5"/>
  <c r="O33" i="5"/>
  <c r="M33" i="5"/>
  <c r="O32" i="5"/>
  <c r="M32" i="5"/>
  <c r="O31" i="5"/>
  <c r="M31" i="5"/>
  <c r="P30" i="5"/>
  <c r="N30" i="5"/>
  <c r="L30" i="5"/>
  <c r="M30" i="5" s="1"/>
  <c r="O29" i="5"/>
  <c r="M29" i="5"/>
  <c r="O28" i="5"/>
  <c r="M28" i="5"/>
  <c r="O27" i="5"/>
  <c r="M27" i="5"/>
  <c r="O25" i="5"/>
  <c r="M25" i="5"/>
  <c r="O24" i="5"/>
  <c r="M24" i="5"/>
  <c r="O23" i="5"/>
  <c r="M23" i="5"/>
  <c r="O22" i="5"/>
  <c r="M22" i="5"/>
  <c r="O21" i="5"/>
  <c r="M21" i="5"/>
  <c r="O20" i="5"/>
  <c r="M20" i="5"/>
  <c r="O19" i="5"/>
  <c r="M19" i="5"/>
  <c r="O18" i="5"/>
  <c r="M18" i="5"/>
  <c r="O17" i="5"/>
  <c r="M17" i="5"/>
  <c r="O16" i="5"/>
  <c r="M16" i="5"/>
  <c r="O15" i="5"/>
  <c r="M15" i="5"/>
  <c r="O14" i="5"/>
  <c r="M14" i="5"/>
  <c r="O13" i="5"/>
  <c r="M13" i="5"/>
  <c r="O12" i="5"/>
  <c r="M12" i="5"/>
  <c r="O11" i="5"/>
  <c r="M11" i="5"/>
  <c r="O10" i="5"/>
  <c r="M10" i="5"/>
  <c r="O9" i="5"/>
  <c r="M9" i="5"/>
  <c r="O8" i="5"/>
  <c r="M8" i="5"/>
  <c r="O7" i="5"/>
  <c r="M7" i="5"/>
  <c r="R6" i="5"/>
  <c r="P6" i="5"/>
  <c r="N6" i="5"/>
  <c r="L6" i="5"/>
  <c r="K6" i="5"/>
  <c r="M38" i="5" l="1"/>
  <c r="S38" i="5"/>
  <c r="R44" i="5"/>
  <c r="S6" i="5"/>
  <c r="Q30" i="5"/>
  <c r="P44" i="5"/>
  <c r="Q6" i="5"/>
  <c r="N44" i="5"/>
  <c r="O38" i="5"/>
  <c r="L44" i="5"/>
  <c r="O6" i="5"/>
  <c r="M6" i="5"/>
  <c r="O30" i="5"/>
  <c r="K44" i="5"/>
  <c r="M44" i="5" s="1"/>
  <c r="B10" i="5"/>
  <c r="B30" i="5"/>
  <c r="B6" i="5"/>
  <c r="B38" i="5"/>
  <c r="Q8" i="4"/>
  <c r="N9" i="4"/>
  <c r="P9" i="4"/>
  <c r="M8" i="4"/>
  <c r="L8" i="4"/>
  <c r="L7" i="4"/>
  <c r="L15" i="4"/>
  <c r="L27" i="4"/>
  <c r="L39" i="4"/>
  <c r="L41" i="4"/>
  <c r="L44" i="4"/>
  <c r="L46" i="4"/>
  <c r="L48" i="4"/>
  <c r="L50" i="4"/>
  <c r="P51" i="4"/>
  <c r="N51" i="4"/>
  <c r="S50" i="4"/>
  <c r="S48" i="4" s="1"/>
  <c r="Q50" i="4"/>
  <c r="O50" i="4"/>
  <c r="O48" i="4" s="1"/>
  <c r="P48" i="4" s="1"/>
  <c r="M50" i="4"/>
  <c r="M48" i="4" s="1"/>
  <c r="P49" i="4"/>
  <c r="N49" i="4"/>
  <c r="Q48" i="4"/>
  <c r="P47" i="4"/>
  <c r="N47" i="4"/>
  <c r="S46" i="4"/>
  <c r="Q46" i="4"/>
  <c r="O46" i="4"/>
  <c r="N46" i="4"/>
  <c r="M46" i="4"/>
  <c r="P45" i="4"/>
  <c r="N45" i="4"/>
  <c r="S44" i="4"/>
  <c r="Q44" i="4"/>
  <c r="O44" i="4"/>
  <c r="P44" i="4" s="1"/>
  <c r="M44" i="4"/>
  <c r="N44" i="4" s="1"/>
  <c r="P43" i="4"/>
  <c r="N43" i="4"/>
  <c r="P42" i="4"/>
  <c r="N42" i="4"/>
  <c r="S41" i="4"/>
  <c r="Q41" i="4"/>
  <c r="O41" i="4"/>
  <c r="M41" i="4"/>
  <c r="P40" i="4"/>
  <c r="N40" i="4"/>
  <c r="S39" i="4"/>
  <c r="Q39" i="4"/>
  <c r="O39" i="4"/>
  <c r="P39" i="4" s="1"/>
  <c r="M39" i="4"/>
  <c r="N39" i="4" s="1"/>
  <c r="P38" i="4"/>
  <c r="N38" i="4"/>
  <c r="P37" i="4"/>
  <c r="N37" i="4"/>
  <c r="P35" i="4"/>
  <c r="N35" i="4"/>
  <c r="P34" i="4"/>
  <c r="N34" i="4"/>
  <c r="N33" i="4"/>
  <c r="P33" i="4"/>
  <c r="P32" i="4"/>
  <c r="N32" i="4"/>
  <c r="P31" i="4"/>
  <c r="N31" i="4"/>
  <c r="P30" i="4"/>
  <c r="N30" i="4"/>
  <c r="P29" i="4"/>
  <c r="N29" i="4"/>
  <c r="P28" i="4"/>
  <c r="N28" i="4"/>
  <c r="S27" i="4"/>
  <c r="Q27" i="4"/>
  <c r="O27" i="4"/>
  <c r="P27" i="4" s="1"/>
  <c r="N27" i="4"/>
  <c r="M27" i="4"/>
  <c r="P26" i="4"/>
  <c r="N26" i="4"/>
  <c r="P24" i="4"/>
  <c r="N24" i="4"/>
  <c r="P23" i="4"/>
  <c r="N23" i="4"/>
  <c r="P22" i="4"/>
  <c r="N22" i="4"/>
  <c r="P21" i="4"/>
  <c r="N21" i="4"/>
  <c r="P20" i="4"/>
  <c r="N20" i="4"/>
  <c r="P19" i="4"/>
  <c r="N19" i="4"/>
  <c r="P18" i="4"/>
  <c r="N18" i="4"/>
  <c r="P17" i="4"/>
  <c r="N17" i="4"/>
  <c r="P16" i="4"/>
  <c r="N16" i="4"/>
  <c r="S15" i="4"/>
  <c r="Q15" i="4"/>
  <c r="O15" i="4"/>
  <c r="P15" i="4" s="1"/>
  <c r="M15" i="4"/>
  <c r="P14" i="4"/>
  <c r="N14" i="4"/>
  <c r="P13" i="4"/>
  <c r="N13" i="4"/>
  <c r="P12" i="4"/>
  <c r="N12" i="4"/>
  <c r="P11" i="4"/>
  <c r="N11" i="4"/>
  <c r="P10" i="4"/>
  <c r="N10" i="4"/>
  <c r="P8" i="4"/>
  <c r="N8" i="4"/>
  <c r="S7" i="4"/>
  <c r="Q7" i="4"/>
  <c r="O7" i="4"/>
  <c r="M7" i="4"/>
  <c r="M6" i="4" s="1"/>
  <c r="S44" i="5" l="1"/>
  <c r="T15" i="4"/>
  <c r="Q44" i="5"/>
  <c r="S36" i="4"/>
  <c r="Q36" i="4"/>
  <c r="S6" i="4"/>
  <c r="Q6" i="4"/>
  <c r="R6" i="4" s="1"/>
  <c r="O44" i="5"/>
  <c r="B44" i="5"/>
  <c r="P46" i="4"/>
  <c r="N41" i="4"/>
  <c r="P41" i="4"/>
  <c r="L36" i="4"/>
  <c r="O6" i="4"/>
  <c r="N15" i="4"/>
  <c r="L6" i="4"/>
  <c r="N7" i="4"/>
  <c r="P7" i="4"/>
  <c r="P50" i="4"/>
  <c r="O36" i="4"/>
  <c r="O52" i="4" s="1"/>
  <c r="N48" i="4"/>
  <c r="N50" i="4"/>
  <c r="M36" i="4"/>
  <c r="T6" i="4" l="1"/>
  <c r="S52" i="4"/>
  <c r="Q52" i="4"/>
  <c r="L52" i="4"/>
  <c r="P52" i="4" s="1"/>
  <c r="P36" i="4"/>
  <c r="N36" i="4"/>
  <c r="M52" i="4"/>
  <c r="P6" i="4"/>
  <c r="N6" i="4"/>
  <c r="T52" i="4" l="1"/>
  <c r="N52" i="4"/>
  <c r="G59" i="6" l="1"/>
  <c r="G58" i="6"/>
  <c r="G57" i="6"/>
  <c r="G56" i="6"/>
  <c r="G55" i="6"/>
  <c r="G54" i="6"/>
  <c r="G53" i="6"/>
  <c r="G51" i="6"/>
  <c r="G50" i="6"/>
  <c r="G49" i="6"/>
  <c r="G48" i="6"/>
  <c r="G47" i="6"/>
  <c r="G46" i="6"/>
  <c r="G45" i="6"/>
  <c r="G44" i="6"/>
  <c r="G43" i="6"/>
  <c r="G42" i="6"/>
  <c r="G41" i="6"/>
  <c r="G40" i="6"/>
  <c r="G39" i="6"/>
  <c r="G37" i="6"/>
  <c r="G38" i="6"/>
  <c r="G36" i="6"/>
  <c r="G35" i="6"/>
  <c r="G27" i="6"/>
  <c r="G28" i="6"/>
  <c r="G29" i="6"/>
  <c r="G30" i="6"/>
  <c r="G31" i="6"/>
  <c r="G32" i="6"/>
  <c r="G33" i="6"/>
  <c r="G26" i="6"/>
  <c r="G16" i="6"/>
  <c r="G17" i="6"/>
  <c r="G18" i="6"/>
  <c r="G19" i="6"/>
  <c r="G20" i="6"/>
  <c r="G21" i="6"/>
  <c r="G22" i="6"/>
  <c r="G23" i="6"/>
  <c r="G24" i="6"/>
  <c r="G8" i="6"/>
  <c r="G9" i="6"/>
  <c r="G10" i="6"/>
  <c r="G11" i="6"/>
  <c r="G12" i="6"/>
  <c r="G13" i="6"/>
  <c r="G7" i="6"/>
  <c r="G6" i="6"/>
  <c r="G15" i="6"/>
  <c r="F55" i="6"/>
  <c r="F52" i="6"/>
  <c r="G52" i="6" s="1"/>
  <c r="F49" i="6"/>
  <c r="F46" i="6"/>
  <c r="F44" i="6"/>
  <c r="F42" i="6"/>
  <c r="F39" i="6"/>
  <c r="F37" i="6"/>
  <c r="F34" i="6"/>
  <c r="G34" i="6" s="1"/>
  <c r="F25" i="6"/>
  <c r="G25" i="6" s="1"/>
  <c r="F14" i="6"/>
  <c r="F6" i="6"/>
  <c r="F48" i="6" l="1"/>
  <c r="F58" i="6"/>
  <c r="F59" i="6" l="1"/>
  <c r="E19" i="10" l="1"/>
  <c r="M26" i="11"/>
  <c r="I26" i="11"/>
  <c r="E4" i="11" l="1"/>
  <c r="E10" i="6" l="1"/>
  <c r="D55" i="6"/>
  <c r="C55" i="6"/>
  <c r="B55" i="6"/>
  <c r="D52" i="6"/>
  <c r="C52" i="6"/>
  <c r="B52" i="6"/>
  <c r="D49" i="6"/>
  <c r="C49" i="6"/>
  <c r="B49" i="6"/>
  <c r="D46" i="6"/>
  <c r="C46" i="6"/>
  <c r="B46" i="6"/>
  <c r="D44" i="6"/>
  <c r="C44" i="6"/>
  <c r="B44" i="6"/>
  <c r="D42" i="6"/>
  <c r="C42" i="6"/>
  <c r="B42" i="6"/>
  <c r="B58" i="6" l="1"/>
  <c r="C58" i="6"/>
  <c r="D58" i="6"/>
  <c r="D39" i="6"/>
  <c r="C39" i="6"/>
  <c r="B39" i="6"/>
  <c r="D37" i="6"/>
  <c r="C37" i="6"/>
  <c r="B37" i="6"/>
  <c r="D34" i="6"/>
  <c r="C34" i="6"/>
  <c r="B34" i="6"/>
  <c r="D25" i="6"/>
  <c r="C25" i="6"/>
  <c r="B25" i="6"/>
  <c r="E15" i="6"/>
  <c r="D14" i="6"/>
  <c r="C14" i="6"/>
  <c r="G14" i="6" s="1"/>
  <c r="B14" i="6"/>
  <c r="E57" i="6"/>
  <c r="E56" i="6"/>
  <c r="E55" i="6"/>
  <c r="E54" i="6"/>
  <c r="E53" i="6"/>
  <c r="E52" i="6"/>
  <c r="E51" i="6"/>
  <c r="E50" i="6"/>
  <c r="E49" i="6"/>
  <c r="E47" i="6"/>
  <c r="E46" i="6"/>
  <c r="E45" i="6"/>
  <c r="E44" i="6"/>
  <c r="E43" i="6"/>
  <c r="E42" i="6"/>
  <c r="E41" i="6"/>
  <c r="E40" i="6"/>
  <c r="E38" i="6"/>
  <c r="E36" i="6"/>
  <c r="E35" i="6"/>
  <c r="E33" i="6"/>
  <c r="E32" i="6"/>
  <c r="E31" i="6"/>
  <c r="E30" i="6"/>
  <c r="E29" i="6"/>
  <c r="E28" i="6"/>
  <c r="E27" i="6"/>
  <c r="E26" i="6"/>
  <c r="E24" i="6"/>
  <c r="E23" i="6"/>
  <c r="E22" i="6"/>
  <c r="E21" i="6"/>
  <c r="E20" i="6"/>
  <c r="E19" i="6"/>
  <c r="E18" i="6"/>
  <c r="E17" i="6"/>
  <c r="E16" i="6"/>
  <c r="E13" i="6"/>
  <c r="E12" i="6"/>
  <c r="E11" i="6"/>
  <c r="E9" i="6"/>
  <c r="E8" i="6"/>
  <c r="E7" i="6"/>
  <c r="D6" i="6"/>
  <c r="C6" i="6"/>
  <c r="B6" i="6"/>
  <c r="E34" i="6" l="1"/>
  <c r="E37" i="6"/>
  <c r="E58" i="6"/>
  <c r="D48" i="6"/>
  <c r="D59" i="6" s="1"/>
  <c r="E6" i="6"/>
  <c r="B48" i="6"/>
  <c r="B59" i="6" s="1"/>
  <c r="C48" i="6"/>
  <c r="C59" i="6" s="1"/>
  <c r="E39" i="6"/>
  <c r="E25" i="6"/>
  <c r="E14" i="6"/>
  <c r="E48" i="6" l="1"/>
  <c r="E59" i="6"/>
  <c r="F7" i="5" l="1"/>
  <c r="D7" i="5"/>
  <c r="J44" i="4"/>
  <c r="H44" i="4"/>
  <c r="H41" i="4"/>
  <c r="H39" i="4"/>
  <c r="H36" i="4" s="1"/>
  <c r="C33" i="4"/>
  <c r="G47" i="4"/>
  <c r="E47" i="4"/>
  <c r="E45" i="4"/>
  <c r="J46" i="4"/>
  <c r="H46" i="4"/>
  <c r="F46" i="4"/>
  <c r="D46" i="4"/>
  <c r="C46" i="4"/>
  <c r="E46" i="4" s="1"/>
  <c r="G46" i="4" l="1"/>
  <c r="H50" i="4" l="1"/>
  <c r="J50" i="4"/>
  <c r="J48" i="4" s="1"/>
  <c r="J41" i="4"/>
  <c r="J39" i="4"/>
  <c r="H27" i="4"/>
  <c r="J27" i="4"/>
  <c r="J15" i="4"/>
  <c r="H15" i="4"/>
  <c r="D31" i="5"/>
  <c r="F43" i="5"/>
  <c r="D43" i="5"/>
  <c r="F42" i="5"/>
  <c r="D42" i="5"/>
  <c r="F41" i="5"/>
  <c r="D41" i="5"/>
  <c r="F40" i="5"/>
  <c r="D40" i="5"/>
  <c r="F39" i="5"/>
  <c r="D39" i="5"/>
  <c r="I38" i="5"/>
  <c r="G38" i="5"/>
  <c r="E38" i="5"/>
  <c r="C38" i="5"/>
  <c r="D38" i="5" s="1"/>
  <c r="F37" i="5"/>
  <c r="D37" i="5"/>
  <c r="F36" i="5"/>
  <c r="D36" i="5"/>
  <c r="F35" i="5"/>
  <c r="D35" i="5"/>
  <c r="F33" i="5"/>
  <c r="D33" i="5"/>
  <c r="F32" i="5"/>
  <c r="D32" i="5"/>
  <c r="F31" i="5"/>
  <c r="I30" i="5"/>
  <c r="G30" i="5"/>
  <c r="E30" i="5"/>
  <c r="C30" i="5"/>
  <c r="F29" i="5"/>
  <c r="D29" i="5"/>
  <c r="F28" i="5"/>
  <c r="D28" i="5"/>
  <c r="F27" i="5"/>
  <c r="D27" i="5"/>
  <c r="F26" i="5"/>
  <c r="D26" i="5"/>
  <c r="F25" i="5"/>
  <c r="D25" i="5"/>
  <c r="F24" i="5"/>
  <c r="D24" i="5"/>
  <c r="F23" i="5"/>
  <c r="D23" i="5"/>
  <c r="F22" i="5"/>
  <c r="D22" i="5"/>
  <c r="F21" i="5"/>
  <c r="D21" i="5"/>
  <c r="F20" i="5"/>
  <c r="D20" i="5"/>
  <c r="F19" i="5"/>
  <c r="D19" i="5"/>
  <c r="F18" i="5"/>
  <c r="D18" i="5"/>
  <c r="F17" i="5"/>
  <c r="D17" i="5"/>
  <c r="F16" i="5"/>
  <c r="D16" i="5"/>
  <c r="F15" i="5"/>
  <c r="D15" i="5"/>
  <c r="F14" i="5"/>
  <c r="D14" i="5"/>
  <c r="F13" i="5"/>
  <c r="D13" i="5"/>
  <c r="F12" i="5"/>
  <c r="D12" i="5"/>
  <c r="F11" i="5"/>
  <c r="D11" i="5"/>
  <c r="F10" i="5"/>
  <c r="D10" i="5"/>
  <c r="F9" i="5"/>
  <c r="D9" i="5"/>
  <c r="F8" i="5"/>
  <c r="D8" i="5"/>
  <c r="I6" i="5"/>
  <c r="G6" i="5"/>
  <c r="E6" i="5"/>
  <c r="E44" i="5" s="1"/>
  <c r="C6" i="5"/>
  <c r="G32" i="4"/>
  <c r="G51" i="4"/>
  <c r="E51" i="4"/>
  <c r="F50" i="4"/>
  <c r="D50" i="4"/>
  <c r="D48" i="4" s="1"/>
  <c r="C50" i="4"/>
  <c r="C48" i="4" s="1"/>
  <c r="G49" i="4"/>
  <c r="E49" i="4"/>
  <c r="G45" i="4"/>
  <c r="F44" i="4"/>
  <c r="D44" i="4"/>
  <c r="C44" i="4"/>
  <c r="G43" i="4"/>
  <c r="E43" i="4"/>
  <c r="G42" i="4"/>
  <c r="E42" i="4"/>
  <c r="F41" i="4"/>
  <c r="D41" i="4"/>
  <c r="C41" i="4"/>
  <c r="G40" i="4"/>
  <c r="E40" i="4"/>
  <c r="F39" i="4"/>
  <c r="D39" i="4"/>
  <c r="C39" i="4"/>
  <c r="G38" i="4"/>
  <c r="E38" i="4"/>
  <c r="G37" i="4"/>
  <c r="E37" i="4"/>
  <c r="G35" i="4"/>
  <c r="E35" i="4"/>
  <c r="G34" i="4"/>
  <c r="E34" i="4"/>
  <c r="G33" i="4"/>
  <c r="E33" i="4"/>
  <c r="E32" i="4"/>
  <c r="G31" i="4"/>
  <c r="E31" i="4"/>
  <c r="G30" i="4"/>
  <c r="E30" i="4"/>
  <c r="G29" i="4"/>
  <c r="E29" i="4"/>
  <c r="G28" i="4"/>
  <c r="E28" i="4"/>
  <c r="F27" i="4"/>
  <c r="D27" i="4"/>
  <c r="C27" i="4"/>
  <c r="G26" i="4"/>
  <c r="E26" i="4"/>
  <c r="G25" i="4"/>
  <c r="E25" i="4"/>
  <c r="G24" i="4"/>
  <c r="E24" i="4"/>
  <c r="G23" i="4"/>
  <c r="E23" i="4"/>
  <c r="G22" i="4"/>
  <c r="E22" i="4"/>
  <c r="G21" i="4"/>
  <c r="E21" i="4"/>
  <c r="G20" i="4"/>
  <c r="E20" i="4"/>
  <c r="G19" i="4"/>
  <c r="E19" i="4"/>
  <c r="G18" i="4"/>
  <c r="E18" i="4"/>
  <c r="G17" i="4"/>
  <c r="E17" i="4"/>
  <c r="G16" i="4"/>
  <c r="E16" i="4"/>
  <c r="F15" i="4"/>
  <c r="D15" i="4"/>
  <c r="C15" i="4"/>
  <c r="G14" i="4"/>
  <c r="E14" i="4"/>
  <c r="G13" i="4"/>
  <c r="E13" i="4"/>
  <c r="G12" i="4"/>
  <c r="E12" i="4"/>
  <c r="G11" i="4"/>
  <c r="E11" i="4"/>
  <c r="G10" i="4"/>
  <c r="E10" i="4"/>
  <c r="G9" i="4"/>
  <c r="E9" i="4"/>
  <c r="G8" i="4"/>
  <c r="E8" i="4"/>
  <c r="J7" i="4"/>
  <c r="H7" i="4"/>
  <c r="F7" i="4"/>
  <c r="D7" i="4"/>
  <c r="C7" i="4"/>
  <c r="I44" i="5" l="1"/>
  <c r="E7" i="4"/>
  <c r="G50" i="4"/>
  <c r="F36" i="4"/>
  <c r="D36" i="4"/>
  <c r="F6" i="4"/>
  <c r="H48" i="4"/>
  <c r="H6" i="4"/>
  <c r="J36" i="4"/>
  <c r="E44" i="4"/>
  <c r="G39" i="4"/>
  <c r="F30" i="5"/>
  <c r="J6" i="4"/>
  <c r="F44" i="5"/>
  <c r="F38" i="5"/>
  <c r="G44" i="5"/>
  <c r="D6" i="5"/>
  <c r="C44" i="5"/>
  <c r="D30" i="5"/>
  <c r="F6" i="5"/>
  <c r="G7" i="4"/>
  <c r="C36" i="4"/>
  <c r="F48" i="4"/>
  <c r="G27" i="4"/>
  <c r="G15" i="4"/>
  <c r="E41" i="4"/>
  <c r="E27" i="4"/>
  <c r="E39" i="4"/>
  <c r="D6" i="4"/>
  <c r="D52" i="4" s="1"/>
  <c r="G44" i="4"/>
  <c r="E48" i="4"/>
  <c r="C6" i="4"/>
  <c r="E15" i="4"/>
  <c r="E50" i="4"/>
  <c r="G41" i="4"/>
  <c r="G36" i="4" l="1"/>
  <c r="E36" i="4"/>
  <c r="H44" i="5"/>
  <c r="D44" i="5"/>
  <c r="F52" i="4"/>
  <c r="J52" i="4"/>
  <c r="H52" i="4"/>
  <c r="G48" i="4"/>
  <c r="G6" i="4"/>
  <c r="C52" i="4"/>
  <c r="E6" i="4"/>
  <c r="G52" i="4" l="1"/>
  <c r="E52" i="4"/>
</calcChain>
</file>

<file path=xl/comments1.xml><?xml version="1.0" encoding="utf-8"?>
<comments xmlns="http://schemas.openxmlformats.org/spreadsheetml/2006/main">
  <authors>
    <author>Cenaida Jerez Ruiz</author>
    <author xml:space="preserve">Patricia Zuleta Restrepo </author>
  </authors>
  <commentList>
    <comment ref="O4" authorId="0" shapeId="0">
      <text>
        <r>
          <rPr>
            <b/>
            <sz val="9"/>
            <color indexed="81"/>
            <rFont val="Tahoma"/>
            <family val="2"/>
          </rPr>
          <t>No hubo accidentes</t>
        </r>
        <r>
          <rPr>
            <sz val="9"/>
            <color indexed="81"/>
            <rFont val="Tahoma"/>
            <family val="2"/>
          </rPr>
          <t xml:space="preserve">
</t>
        </r>
      </text>
    </comment>
    <comment ref="R4" authorId="0" shapeId="0">
      <text>
        <r>
          <rPr>
            <b/>
            <sz val="9"/>
            <color indexed="81"/>
            <rFont val="Tahoma"/>
            <family val="2"/>
          </rPr>
          <t>No hubo accidentes</t>
        </r>
        <r>
          <rPr>
            <sz val="9"/>
            <color indexed="81"/>
            <rFont val="Tahoma"/>
            <family val="2"/>
          </rPr>
          <t xml:space="preserve">
</t>
        </r>
      </text>
    </comment>
    <comment ref="I7" authorId="1" shapeId="0">
      <text>
        <r>
          <rPr>
            <sz val="9"/>
            <color indexed="81"/>
            <rFont val="Tahoma"/>
            <family val="2"/>
          </rPr>
          <t xml:space="preserve">Correo de fecha 17/07/2018
La formulación del indicador no corresponde a un indicador de gestión.
En el caso que se aplicara la fórmula planteada para la medición de este indicador el resultado del 0% es positivo, sin embargo, para efectos de los resultados de informes de gestión, este porcentaje se traduce en un cumplimiento del 100%.
</t>
        </r>
      </text>
    </comment>
    <comment ref="I8" authorId="1" shapeId="0">
      <text>
        <r>
          <rPr>
            <sz val="9"/>
            <color indexed="81"/>
            <rFont val="Tahoma"/>
            <family val="2"/>
          </rPr>
          <t xml:space="preserve">Correo de fecha 17/07/2018
La formulación del indicador no corresponde a un indicador de gestión.
Sin embargo, el porcentaje de avance se está midiendo con base en las actividades que en materia de Facilitación se adelantaron en el trimestre, por parte del Grupo de Inspección a la Seguridad de Aviación Civil y la Facilitación.
</t>
        </r>
      </text>
    </comment>
  </commentList>
</comments>
</file>

<file path=xl/sharedStrings.xml><?xml version="1.0" encoding="utf-8"?>
<sst xmlns="http://schemas.openxmlformats.org/spreadsheetml/2006/main" count="476" uniqueCount="338">
  <si>
    <t>AREAS</t>
  </si>
  <si>
    <t>DIRECCION DE INFRAESTRUCTURA AEROPORTUARIA</t>
  </si>
  <si>
    <t>C-2403-0600-4</t>
  </si>
  <si>
    <t>CONSTRUCCION DE INFRAESTRUCTURA AEROPORTUARIA A NIVEL NACIONAL</t>
  </si>
  <si>
    <t>C-2403-0600-9</t>
  </si>
  <si>
    <t>AMPLIACION MANTENIMIENTO Y MEJORAMIENTO DE LA INFRAESTRUCTURA AEROPORTUARIA  AEROPUERTOS COMUNITARIOS</t>
  </si>
  <si>
    <t>C-2403-0600-10</t>
  </si>
  <si>
    <t>MEJORAMIENTO Y MANTENIMIENTO DE LA INFRAESTRUCTURA ADMINISTRATIVA A NIVEL NACIONAL.</t>
  </si>
  <si>
    <t>C-2403-0600-18</t>
  </si>
  <si>
    <t>MEJORAMIENTO Y RECUPERACION ESTACIONES DE RADIOAYUDAS A NIVEL NACIONAL.</t>
  </si>
  <si>
    <t>C-2403-0600-19</t>
  </si>
  <si>
    <t>MANTENIMIENTO Y CONSERVACION DE LA INFRAESTRUCTURA AEROPORTUARIA.</t>
  </si>
  <si>
    <t>C-2403-0600-22</t>
  </si>
  <si>
    <t>CONSTRUCCIÓN MEJORAMIENTO DE INFRAESTRUCTURA AEROPORTUARIA AEROPUERTO EL DORADO</t>
  </si>
  <si>
    <t>C-2403-0600-24</t>
  </si>
  <si>
    <t>MEJORAMIENTO DE LA CALIDAD DE LOS AMBIENTES DE ATENCIÓN A LOS USUARIOS EN LAS SEDES AEROPORTUARIAS A NIVEL NACIONAL.</t>
  </si>
  <si>
    <t>DIRECCION DE TELECOMUNICACIONES Y AYUDAS A LA NAVEGACION AEREA</t>
  </si>
  <si>
    <t>C-2403-0600-1</t>
  </si>
  <si>
    <t>ADQUISICION DE EQUIPOS DEL PLAN NACIONAL DE AERONAVEGACION A NIVELNACIONAL.</t>
  </si>
  <si>
    <t>C-2403-0600-3</t>
  </si>
  <si>
    <t>AMPLIACION RED DE RADARES A NIVEL NACIONAL.</t>
  </si>
  <si>
    <t>C-2403-0600-6</t>
  </si>
  <si>
    <t>ADQUISICION SERVICIO RED INTEGRADA DE MICROONDAS,CANALES TELEFONICOS Y TELEGRAFICOS NIVEL NACIONAL</t>
  </si>
  <si>
    <t>C-2403-0600-11</t>
  </si>
  <si>
    <t>ADQUISICION DE EQUIPOS Y SISTEMAS DE ENERGIA SOLAR Y COMERCIAL A NIVEL NACIONAL</t>
  </si>
  <si>
    <t>C-2403-0600-12</t>
  </si>
  <si>
    <t>ADQUISICION DE EQUIPOS Y SISTEMAS PARA LA RED METEOROLOGICA AERONAUTICA.</t>
  </si>
  <si>
    <t>C-2403-0600-13</t>
  </si>
  <si>
    <t>ADQUISICION DE EQUIPOS PARA REDES DE TELECOMUNICACIONES.</t>
  </si>
  <si>
    <t>C-2403-0600-15</t>
  </si>
  <si>
    <t>MANTENIMIENTO Y CONSERVACION DE EQUIPOS Y SISTEMAS AEROPORTUARIOS A NIVEL NACIONAL.</t>
  </si>
  <si>
    <t>C-2403-0600-16</t>
  </si>
  <si>
    <t>MANTENIMIENTO Y CONSERVACION DEL SISTEMA DE TELECOMUNICACIONES Y AYUDAS A LA NAVEGACION AEREA A NIVEL NACIONAL.</t>
  </si>
  <si>
    <t>C-2403-0600-17</t>
  </si>
  <si>
    <t>ADQUISICION EQUIPOS Y REPUESTOS PARA SISTEMAS AEROPORTUARIOS NIVELNACIONAL</t>
  </si>
  <si>
    <t>C-2403-0600-21</t>
  </si>
  <si>
    <t>C-2403-0600-23</t>
  </si>
  <si>
    <t>ADQUISICIÓN EQUIPOS Y SISTEMAS AERONAUTICOS Y AEROPORTUARIOS AEROPUERTO EL DORADO</t>
  </si>
  <si>
    <t>DIRECCION DE SERVICIOS AEROPORTUARIOS</t>
  </si>
  <si>
    <t>C-2403-0600-7</t>
  </si>
  <si>
    <t>LEVANTAMIENTO DE INFORMACION PARA ESTUDIOS, PLANES Y PROGRAMAS AMBIENTALES</t>
  </si>
  <si>
    <t>C-2403-0600-8</t>
  </si>
  <si>
    <t>ADECUACION MANTENIMIENTO Y MEJORAMIENTO DE LA INFRAESTRUCTURA AMBIENTAL AEROPORTUARIA</t>
  </si>
  <si>
    <t>C-2403-0600-14</t>
  </si>
  <si>
    <t>ADQUISICION DE EQUIPOS Y SERVICIOS MEDICOS PARA SANIDADES AEROPORTUARIAS</t>
  </si>
  <si>
    <t>C-2409-0600-1</t>
  </si>
  <si>
    <t>ADQUISICION DE EQUIPOS DE PROTECCION Y EXTINCION DE INCENDIOS BUSQUEDA Y RESCATE.</t>
  </si>
  <si>
    <t>C-2409-0600-2</t>
  </si>
  <si>
    <t>MANTENIMIENTO Y CONSERVACION DE EQUIPOS DE EXTINCION DE INCENDIOS Y BUSQUEDA Y RESCATE.</t>
  </si>
  <si>
    <t>C-2409-0600-4</t>
  </si>
  <si>
    <t>ADQUISICION DE SERVICIOS DE SEGURIDAD PARA EL CONTROL Y OPERACION DE LOS SISTEMAS DE SEGURIDAD AEROPORTUARIA Y AYUDAS A LA NAVEGACION AEREA.</t>
  </si>
  <si>
    <t>C-2409-0600-5</t>
  </si>
  <si>
    <t>ADQUISICION Y RENOVACION DE EQUIPOS Y ELEMENTOS PARA LA SEGURIDAD EN AEROPUERTOS.</t>
  </si>
  <si>
    <t>C-2409-0600-6</t>
  </si>
  <si>
    <t>MANTENIMIENTO Y CONSERVACION DE EQUIPOS DE SEGURIDAD AEROPORTUARIA.</t>
  </si>
  <si>
    <t>DIRECCION DE INFORMATICA</t>
  </si>
  <si>
    <t>C-2499-0600-1</t>
  </si>
  <si>
    <t>MANTENIMIENTO Y CONSERVACION DE EQUIPOS DE COMPUTACION.</t>
  </si>
  <si>
    <t>C-2499-0600-2</t>
  </si>
  <si>
    <t>ADQUISICION DE SISTEMAS Y SERVICIOS INFORMATICOS PARA EL PLAN NACIONAL DE INFORMATICA.</t>
  </si>
  <si>
    <t>SECRETARIA GENERAL</t>
  </si>
  <si>
    <t>C-2403-0600-20</t>
  </si>
  <si>
    <t>ADQUISICION TERRENOS PARA CONSTRUCCION Y AMPLIACION DE AEROPUERTOS</t>
  </si>
  <si>
    <t>C-2499-0600-4</t>
  </si>
  <si>
    <t>ASESORIA Y SERVICIOS DE CONSULTORIA.</t>
  </si>
  <si>
    <t>SECRETARIA DE SEGURIDAD OPERACIONAL Y DE LA AVIACION CIVIL</t>
  </si>
  <si>
    <t>C-2409-0600-3</t>
  </si>
  <si>
    <t>CONTROL OPERACIONAL PARA GARANTIZAR LA SEGURIDAD AEREA</t>
  </si>
  <si>
    <t>CENTRO DE ESTUDIOS  AERONAUTICOS- CEA</t>
  </si>
  <si>
    <t>C-2499-0600-5</t>
  </si>
  <si>
    <t>CAPACITACION PERSONAL TECNICO Y ADMINISTRATIVO.</t>
  </si>
  <si>
    <t>SUBDIRECCION GENERAL</t>
  </si>
  <si>
    <t>C-2403-0600-2</t>
  </si>
  <si>
    <t>MANTENIMIENTO Y CONSERVACION DE EQUIPO AEREO.</t>
  </si>
  <si>
    <t>DIRECCION DE TALENTO HUMANO</t>
  </si>
  <si>
    <t>C-2499-0600-3</t>
  </si>
  <si>
    <t>APLICACION DE LOS PROGRAMAS DE SALUD OCUPACIONAL.</t>
  </si>
  <si>
    <t>TOTAL INVERSIÓN</t>
  </si>
  <si>
    <t>RUBRO PRESUPUESTAL</t>
  </si>
  <si>
    <t>COMPROMISOS</t>
  </si>
  <si>
    <t>%</t>
  </si>
  <si>
    <t>OBLIGACIONES</t>
  </si>
  <si>
    <t xml:space="preserve">SECRETARIA DE SISTEMAS OPERACIONAL </t>
  </si>
  <si>
    <t>ANEXO 1</t>
  </si>
  <si>
    <t>Avance Proyectos por Área</t>
  </si>
  <si>
    <t>DIRECCIÓN DE INFRAESTRUCTURA AEROPORTUARIA</t>
  </si>
  <si>
    <t>DIRECCIÓN DE TALENTO HUMANO</t>
  </si>
  <si>
    <t>SUBDIRECCIÓN GENERAL</t>
  </si>
  <si>
    <t>DIRECCIÓN DE SERVICIOS AEROPORTUARIOS</t>
  </si>
  <si>
    <t>APROPIACIÓN  VIGENTE</t>
  </si>
  <si>
    <t>CONSTRUCCIÓN DE INFRAESTRUCTURA AEROPORTUARIA A NIVEL NACIONAL</t>
  </si>
  <si>
    <t>AMPLIACIÓN MANTENIMIENTO Y MEJORAMIENTO DE LA INFRAESTRUCTURA AEROPORTUARIA  AEROPUERTOS COMUNITARIOS</t>
  </si>
  <si>
    <t>MEJORAMIENTO Y RECUPERACIÓN ESTACIONES DE RADIOAYUDAS A NIVEL NACIONAL.</t>
  </si>
  <si>
    <t>MANTENIMIENTO Y CONSERVACIÓN DE LA INFRAESTRUCTURA AEROPORTUARIA.</t>
  </si>
  <si>
    <t>DIRECCIÓN DE TELECOMUNICACIONES Y AYUDAS A LA NAVEGACIÓN AÉREA</t>
  </si>
  <si>
    <t>ADQUISICIÓN DE EQUIPOS DEL PLAN NACIONAL DE AERONAVEGACIÓN A NIVEL NACIONAL.</t>
  </si>
  <si>
    <t>AMPLIACIÓN RED DE RADARES A NIVEL NACIONAL.</t>
  </si>
  <si>
    <t>ADQUISICIÓN SERVICIO RED INTEGRADA DE MICROONDAS, CANALES TELEFÓNICOS Y TELEGRÁFICOS NIVEL NACIONAL</t>
  </si>
  <si>
    <t>ADQUISICIÓN DE EQUIPOS Y SISTEMAS DE ENERGÍA SOLAR Y COMERCIAL A NIVEL NACIONAL</t>
  </si>
  <si>
    <t>ADQUISICIÓN DE EQUIPOS Y SISTEMAS PARA LA RED METEOROLÓGICA AERONÁUTICA.</t>
  </si>
  <si>
    <t>ADQUISICIÓN DE EQUIPOS PARA REDES DE TELECOMUNICACIONES.</t>
  </si>
  <si>
    <t>MANTENIMIENTO Y CONSERVACIÓN DE EQUIPOS Y SISTEMAS AEROPORTUARIOS A NIVEL NACIONAL.</t>
  </si>
  <si>
    <t>MANTENIMIENTO Y CONSERVACIÓN DEL SISTEMA DE TELECOMUNICACIONES Y AYUDAS A LA NAVEGACIÓN AÉREA A NIVEL NACIONAL.</t>
  </si>
  <si>
    <t>ADQUISICIÓN EQUIPOS Y REPUESTOS PARA SISTEMAS AEROPORTUARIOS NIVEL NACIONAL</t>
  </si>
  <si>
    <t>REPOSICIÓN Y MANTENIMIENTO PARQUE AUTOMOTOR PARA LA OPERACIÓN DE LA INFRAESTRUCTURA AERONÁUTICA Y AEROPORTUARIA</t>
  </si>
  <si>
    <t>ADQUISICIÓN EQUIPOS Y SISTEMAS AERONÁUTICOS Y AEROPORTUARIOS AEROPUERTO EL DORADO</t>
  </si>
  <si>
    <t>LEVANTAMIENTO DE INFORMACIÓN PARA ESTUDIOS, PLANES Y PROGRAMAS AMBIENTALES</t>
  </si>
  <si>
    <t>ADECUACIÓN MANTENIMIENTO Y MEJORAMIENTO DE LA INFRAESTRUCTURA AMBIENTAL AEROPORTUARIA</t>
  </si>
  <si>
    <t>ADQUISICIÓN DE EQUIPOS Y SERVICIOS MÉDICOS PARA SANIDADES AEROPORTUARIAS</t>
  </si>
  <si>
    <t>ADQUISICIÓN DE EQUIPOS DE PROTECCIÓN Y EXTINCIÓN DE INCENDIOS BÚSQUEDA Y RESCATE.</t>
  </si>
  <si>
    <t>MANTENIMIENTO Y CONSERVACIÓN DE EQUIPOS DE EXTINCIÓN DE INCENDIOS Y BÚSQUEDA Y RESCATE.</t>
  </si>
  <si>
    <t>ADQUISICIÓN DE SERVICIOS DE SEGURIDAD PARA EL CONTROL Y OPERACIÓN DE LOS SISTEMAS DE SEGURIDAD AEROPORTUARIA Y AYUDAS A LA NAVEGACIÓN AÉREA.</t>
  </si>
  <si>
    <t>ADQUISICIÓN Y RENOVACIÓN DE EQUIPOS Y ELEMENTOS PARA LA SEGURIDAD EN AEROPUERTOS.</t>
  </si>
  <si>
    <t>MANTENIMIENTO Y CONSERVACIÓN DE EQUIPOS DE SEGURIDAD AEROPORTUARIA.</t>
  </si>
  <si>
    <t>SECRETARIA GENERAL (INMUEBLES Y ASESORÍAS)</t>
  </si>
  <si>
    <t>ADQUISICIÓN TERRENOS PARA CONSTRUCCIÓN Y AMPLIACIÓN DE AEROPUERTOS</t>
  </si>
  <si>
    <t>ASESORÍA Y SERVICIOS DE CONSULTORÍA.</t>
  </si>
  <si>
    <t>APLICACIÓN DE LOS PROGRAMAS DE SALUD OCUPACIONAL.</t>
  </si>
  <si>
    <t>DIRECCIÓN DE INFORMÁTICA</t>
  </si>
  <si>
    <t>MANTENIMIENTO Y CONSERVACIÓN DE EQUIPOS DE COMPUTACIÓN.</t>
  </si>
  <si>
    <t>ADQUISICIÓN DE SISTEMAS Y SERVICIOS INFORMÁTICOS PARA EL PLAN NACIONAL DE INFORMÁTICA.</t>
  </si>
  <si>
    <t>SECRETARIA DE SEGURIDAD OPERACIONAL Y DE LA AVIACIÓN CIVIL</t>
  </si>
  <si>
    <t>CONTROL OPERACIONAL PARA GARANTIZAR LA SEGURIDAD AÉREA</t>
  </si>
  <si>
    <t>MANTENIMIENTO Y CONSERVACIÓN DE EQUIPO AÉREO.</t>
  </si>
  <si>
    <t>CENTRO DE ESTUDIOS  AERONÁUTICOS- CEA</t>
  </si>
  <si>
    <t>CAPACITACIÓN PERSONAL TÉCNICO Y ADMINISTRATIVO.</t>
  </si>
  <si>
    <t>2403  INFRAESTRUCTURA Y SERVICIOS DE TRANSPORTE AÉREO</t>
  </si>
  <si>
    <t>2409  SEGURIDAD DE TRANSPORTE</t>
  </si>
  <si>
    <t>2499  FORTALECIMIENTO DE LA GESTIÓN Y DIRECCION DEL SECTOR TRANSPORTE</t>
  </si>
  <si>
    <t>ANEXO 2</t>
  </si>
  <si>
    <t>ANEXO 3</t>
  </si>
  <si>
    <t>RESERVA 2017</t>
  </si>
  <si>
    <t>DESCRIPCION</t>
  </si>
  <si>
    <t xml:space="preserve">% EJEC </t>
  </si>
  <si>
    <t>GASTOS DE PERSONAL</t>
  </si>
  <si>
    <t>SERVICIOS PERSONALES INDIRECTOS</t>
  </si>
  <si>
    <t>CONTRIBUCIONES INHERENTES A LA NOMINA SECTOR PRIVADO Y PUBLICO</t>
  </si>
  <si>
    <t>GASTOS GENERALES</t>
  </si>
  <si>
    <t>IMPUESTOS Y MULTAS</t>
  </si>
  <si>
    <t>ADQUISICION DE BIENES Y SERVICIOS</t>
  </si>
  <si>
    <t>GASTOS DE COMERCIALIZACION Y PRODUCCION</t>
  </si>
  <si>
    <t>COMPRA DE BIENES Y SERVICIOS</t>
  </si>
  <si>
    <t>OTROS GASTOS</t>
  </si>
  <si>
    <t>TOTAL FUNCIONAMIENTO</t>
  </si>
  <si>
    <t>TOTAL GENERAL</t>
  </si>
  <si>
    <t>RESERVA CONSTITUIDA (ENERO 2018)</t>
  </si>
  <si>
    <t>OBJETIVOS E INDICADORES ESTRATÉGICOS INSTITUCIONALES</t>
  </si>
  <si>
    <t>OBJETIVOS</t>
  </si>
  <si>
    <t>INDICADOR</t>
  </si>
  <si>
    <t>% AVANCE IV TRIMESTRE 2017</t>
  </si>
  <si>
    <t>OBSERVACIONES</t>
  </si>
  <si>
    <t>OBSERVACIONES 31 MARZO DE 2018</t>
  </si>
  <si>
    <t>OBSERVACIONES 30 JUNIO DE 2018</t>
  </si>
  <si>
    <t>AVANCE II TRIMESTRE 2018</t>
  </si>
  <si>
    <t>ÁREA</t>
  </si>
  <si>
    <t>NIVELES DE SEGURIDAD TRANSPORTE AÉREO</t>
  </si>
  <si>
    <t>1. Empresas con SMS Fase IV</t>
  </si>
  <si>
    <t>Actualmente según lo reportado por parte de la Secretaría de Seguridad Operacional, fueron identificadas 15 empresas que han implementado el Sistema de  Gestión de Seguridad (SMS) en fase IV. El porcentaje de avance reportado, fue evaluado con respecto a la meta establecida de 22 empresas con SMS implementado en fase IV.</t>
  </si>
  <si>
    <t xml:space="preserve">META PROPUESTA A DIC 2018: 22
TOTAL EMPRESAS APROBADAS SMS 1° TRIMESTRE 2018:  0
Nota: El indicador se trasladó a partir del año 2018 a los grupos de inspección de la SSOAC anteriormente realizaba la vigilancia el Grupo Gestión Seguridad Operacional, se encuentran en proceso de transición y entrega de la función. 
</t>
  </si>
  <si>
    <t xml:space="preserve">Teniendo en cuenta el cambio del RAC 219 a partir del 03 de diciembre del año 2017, en el cual se establece que no se APRUEBAN los SMS de los proveedores de servicios, se realizaran las respectivas entregas a los Inspectores de Operaciones y Aeronavegabilidad para la vigilancia continua de los Sistemas de Gestión de Seguridad Operacional. De acuerdo a la programación de entrega de las empresas aprobadas en el SMS a los Grupo GIO, AGA y  AIR se cumplirá con la meta de 32 empresas listas para la vigilancia del SMS a Diciembre del 2018. </t>
  </si>
  <si>
    <t xml:space="preserve">SSOAC </t>
  </si>
  <si>
    <t>2. Índice de accidentalidad</t>
  </si>
  <si>
    <t xml:space="preserve">La Secretaría de Seguridad Operacional reporta 11 accidentes en lo que va transcurrido del año 2017, cifra que según lo establecido en este indicador, debe ser comparada con la cantidad de despegues que se registran a la fecha (553.159 despegues). </t>
  </si>
  <si>
    <t xml:space="preserve">14,03 %        2016: 3 accidentes
                           2017: 3 accidentes
                           2018: 2 accidentes
</t>
  </si>
  <si>
    <t xml:space="preserve">A junio de 2018 se ha cumplido con la reducción en la accidentalidad en Colombia del 42% con respecto al año anterior, en el primer trimestre según el IA y de acuerdo al número de despegues existía la posibilidad de 82 accidentes de los cuales sólo se presentaron 2 y en el segundo trimestre 118 y sólo hubieron 3, esto gracias a factores como los controles de la inspección y vigilancia a las empresas y las recomendaciones de seguridad operacional </t>
  </si>
  <si>
    <t>SSOAC - IA</t>
  </si>
  <si>
    <t>CAPACIDAD DE SERVICIOS DE NAVEGACIÓN AÉREA</t>
  </si>
  <si>
    <t>3. Eficiencia de operación</t>
  </si>
  <si>
    <t xml:space="preserve">Según lo manifestado por parte de la Dirección de Servicios a la Navegación Aérea, se encuentran en la última fase de implementación del Sistema Metron Harmony, y su integración con los demás sistemas de información, por tal razón para este trimestre no se reporta porcentaje de reducción de tiempos, teniendo en cuenta que de una de las variables que componen este indicador, aún no se tiene información suficiente para su construcción. </t>
  </si>
  <si>
    <t>ENERO 2018
AHORRO PROMEDIO EN TIEMPO DE REDUCCION POR RUTA LLEGADAS A SKBO
En el tiempo analizado en el mes de Enero, se puede evidenciar un ahorro en tiempo del -0,3 en la ruta SKBG – SKBO y tiempo de más gastado en la ruta SKAS – SKBO 4.9sgs.
PROMEDIO DE PORCENTAJE DE REDUCCION POR RUTA LLEGADAS SKBO – OCTUBRE 2017
Así mismo, para el mismo mes de Enero/18, se puede evidenciar una reducción promedio del -02% en la ruta SKPE – SKBO y en aumento del 6.8% en la ruta SKAS – SKBO . Es importante aclarar que las rutas SKPQ-SKBO y SKGB – SKBO presentan un incremento en la llegadas de 13,7% y 11.6%, respectivamente dado que durante el mes presentaron en promedio 9 operaciones, viéndose incrementado el porcentaje de ruta de llegada.
FEBRERO 2018
AHORRO PROMEDIO EN TIEMPO DE REDUCCION POR RUTA LLEGADAS A SKBO
En el tiempo analizado en el mes de Febrero, se puede evidenciar un ahorro en tiempo del -0,5 en la ruta SKPS – SKBO y tiempo de más gastado en la ruta SKAS – SKBO 6,9gs.
PROMEDIO DE PORCENTAJE DE REDUCCION POR RUTA LLEGADAS SKBO – OCTUBRE 2017
Así mismo, para el mismo mes de Febrero/18, se puede evidenciar una reducción promedio del -0,3% en la ruta SKSP – SKBO y en aumento del 9.8% en la ruta SKAS – SKBO. Es importante aclarar que la ruta SKVV-SKBO presenta un incremento en la llegadas de 14,0% EN porcentaje de ruta de llegada.
MARZO 2018
AHORRO PROMEDIO EN TIEMPO DE REDUCCION POR RUTA LLEGADAS A SKBO
En el tiempo analizado en el mes de Marzo, se puede evidenciar un ahorro en tiempo del -0,3 en la ruta SKCZ – SKBO y tiempo de más gastado en la ruta SKAS – SKBO 6,9gs.
PROMEDIO DE PORCENTAJE DE REDUCCION POR RUTA LLEGADAS SKBO – OCTUBRE 2017
Así mismo, para el mismo mes de Marzo/18, se puede evidenciar una reducción promedio del -0,6% en la ruta SKLT – SKBO y en aumento del 10.1% en la ruta SKUI – SKBO. Es importante mencionar que el aeropuerto SKRH, tuvo cumplimiento de 0,0%, dado que sus tiempos de salida, se mantuvieron en el rango de -0,7 y -3,4 sgs.</t>
  </si>
  <si>
    <t>ABRIL 2018
AHORRO PROMEDIO EN TIEMPO DE REDUCCION POR RUTA LLEGADAS A SKBO
En el tiempo analizado en el mes de Abril, se puede evidenciar un ahorro en tiempo del -0,09 en la ruta SKPS – SKBO y tiempo de más gastado en la ruta SKAS – SKBO 5.4sgs.
PROMEDIO DE PORCENTAJE DE REDUCCION POR RUTA LLEGADAS SKBO –ABRIL 2018
Así mismo, para el mismo mes de Abril/18, se puede evidenciar una reducción promedio del -0.7% en la ruta SKRH – SKBO y en aumento del 7.44% en la ruta SKCO – SKBO. Es importante aclarar que las rutas SKPQ-SKBO presentan un incremento en la llegada de 22,35%, dado que durante el mes presentaron en promedio 14 operaciones, viéndose incrementado el porcentaje de ruta de llegada.
MAYO 2018
AHORRO PROMEDIO EN TIEMPO DE REDUCCION POR RUTA LLEGADAS A SKBO
En el tiempo analizado en el mes de Mayo, se puede evidenciar un ahorro en tiempo del -0.2% en las rutas SKNV – SKBO Y SKSP - SKBO y tiempo de más gastado en las rutas SKAS – SKBO 6.8 seg y SKCO – SKBO con 8.1 seg.
PROMEDIO DE PORCENTAJE DE REDUCCION POR RUTA LLEGADAS SKBO – MAYO 2018
Así mismo, para el mismo mes de Mayo/18, se puede evidenciar una reducción promedio del -0,2% en la ruta SKSP – SKBO y en aumento del 10.4% en la ruta SKCO – SKBO. 
JUNIO 2018
AHORRO PROMEDIO EN TIEMPO DE REDUCCION POR RUTA LLEGADAS A SKBO
En el tiempo analizado en el mes de Junio, se puede evidenciar un ahorro en tiempo del -0,2 en la ruta SKVPZ – SKBO y tiempo de más gastado en la ruta SKAS – SKBO 7.9 sg.
PROMEDIO DE PORCENTAJE DE REDUCCION POR RUTA LLEGADAS SKBO – JUNIO 2018
Así mismo, para el mismo mes de Junio/18, se puede evidenciar una reducción promedio del -0,2% en la ruta SKPS – SKBO y SKVP – SKBO y en aumento del 9.9% en la ruta SKCO – SKBO. Es importante mencionar que el aeropuerto SKSA, tuvo cumplimiento de 0,0%, dado que sus tiempos de salida, se mantuvieron en el rango de -0,2 y -0.8 sgs.</t>
  </si>
  <si>
    <t>DSNA</t>
  </si>
  <si>
    <t>4. Cumplimiento de las metas del PNA</t>
  </si>
  <si>
    <t>Se tiene un avance del 70% según lo evidenciado en las mesas de trabajo realizadas con todas las direcciones adscritas a la Secretaría de Sistemas Operacionales, actualmente se está actualizando el Plan de Navegación Aérea de su versión VII a la versión VIII. Valga la pena aclarar que el porcentaje reportado no corresponde al avance real, sino a la gestión realizada a fin de estandarizar un sistema de medición de actividades de cada una de las áreas.</t>
  </si>
  <si>
    <t xml:space="preserve"> A  Marzo 31  de 2018 se  continua con el mismo  avance de las metas del PNA reportadas a Dic 31 por cada una de las Direcciones Así: DSNA 43.71%, DIA:83.79% ,DSA 16.5%.
Se diseño un instrumento de medición para medir las metas del PNA de tal forma  integrar  todos  los Servicios  a partir del 2018</t>
  </si>
  <si>
    <t xml:space="preserve"> A junio 30  de 2018 El avance de las metas del PNA  por cada una de las Direcciones Así: DSNA 50% corresponde a las actividades a realizar en los ASBUS Modulo 0(2014-2018), DIA:83.79% ,DSA 16.5</t>
  </si>
  <si>
    <t>SSO</t>
  </si>
  <si>
    <t>SEGURIDAD DE LA AVIACIÓN CIVIL</t>
  </si>
  <si>
    <t>5. Índice de reducción de actos de interferencia ilícita</t>
  </si>
  <si>
    <t xml:space="preserve">De acuerdo al reporte suministrado por parte de la Dirección de Seguridad y Supervisión Aeroportuaria, durante el tercer trimestre no se presentaron casos de interferencia ilícita, razón por la cual el indicador aún permanece en 0%. </t>
  </si>
  <si>
    <t xml:space="preserve">Este indicador ya no es medido por  la DSA paso a la Secretaria de Seguridad aeroportuaria se anexa oficio </t>
  </si>
  <si>
    <t>En el segundo trimestre de 2018  no se presentaron Actos de Interferencia Ilícita.
Nota: Revisando los registro de Actos de Interferencia Ilícita (AAI), se evidencia que el primer trimestre de 2018 se presento un AAI, el 31 de enero del presente año, en el Aeropuerto Hacaritama del Municipio de Aguachica, Departamento del Cesar; el cual no fue reportado en primer trimestre.
Nota: Para el próximo cuatrienio se replanteará el indicador, toda vez que la ocurrencia de un Acto de Interferencia Ilícita, no refleja el cumplimiento, ni la gestión de las actividades llevadas a cabo por parte de la Autoridad de Seguridad de la Aviación, tendientes a controlar o mitigar la ocurrencia de los mismos.
Adicionalmente, se evidencia que la formulación del indicador no corresponde a un indicador de gestión.
Es importante aclarar que este indicador fue trasladado a esta Dependencia por parte de la Dirección de Servicios Aeroportuarios.
Evidencia : Bog7, en la siguiente ruta: L:\5302-Inspeccion Segur Avi Civ y Facilitación\2018\Administrativo\Indicadores PEI.</t>
  </si>
  <si>
    <t>6. Reducción de tiempos de facilitación</t>
  </si>
  <si>
    <t>Durante el tercer trimestre del año en curso se está realizando el empalme entre el Grupo de Planificación Aeroportuaria y la Secretaría de Seguridad, debido al traslado de la responsabilidad del diligenciamiento de dicho indicador, por lo tanto no se presenta porcentaje de optimización en la reducción de tiempos de facilitación, sin embargo se obtuvo un avance significativo en el proceso de empalme y gestión entre los dos grupos involucrados en el proceso.</t>
  </si>
  <si>
    <t xml:space="preserve">Este indicador ya no es medido por  Planes Maestros  paso a la Secretaria de Seguridad aeroportuaria se anexa oficio </t>
  </si>
  <si>
    <t>El Grupo de Inspección de Seguridad de Aviación Civil y la Facilitación en el segundo trimestre de 2018 participó en 6 Comités Locales de Facilitación en los Aeropuertos a continuación relacionados:
- Cartagena
- San Andrés 
- Leticia 
- Cali
- Barranquilla
- Cúcuta 
Nota: No es posible establecer un porcentaje de avance, dado que el planteamiento de este indicador esta orientado a la reducción de tiempos de servicio y esta información no esta al alcance de la Entidad.
Para el próximo cuatrienio se replanteará el indicador, toda vez que no es posible realizar una medición de tiempos, ya que la Facilitación es un concepto de gestión entre las Autoridades involucradas en las medidas y procedimientos aplicables en los Aeropuertos; y dentro de la facultades de la Entidad no esta la de controlar los procedimientos establecidos por otras Entidades.
Es importante aclarar que este indicador fue trasladado a esta Dependencia por parte del Grupo de Planes Maestros.
Evidencia: Bog7, en la siguiente ruta: L:\5302-Inspeccion Segur Avi Civ y Facilitación\2018\Administrativo\Indicadores PEI.</t>
  </si>
  <si>
    <t>MINIMIZAR IMPACTO TRANSPORTE AÉREO SOBRE EL MEDIO AMBIENTE</t>
  </si>
  <si>
    <t>7.Reducción de emisiones de CO2</t>
  </si>
  <si>
    <t>Tal y como se tenía proyectado, se realizó la construcción de la línea estimada de emisiones de CO2 con respecto a la llegada de las aeronaves que aterrizaron en la ciudad de Bogotá durante el año 2015, aún se está avanzando de manera significativa en la construcción y recopilación de la información de los años 2014 y 2015. Se espera que al finalizar el año 2017 se tenga la información completa correspondiente al año 2016.</t>
  </si>
  <si>
    <t xml:space="preserve"> Se continua con la  construcción de la línea estimada de emisiones de CO2 con respecto a la llegada de las aeronaves que aterrizaron en la ciudad de Bogotá durante el año 2015, y en la construcción y recopilación de la información de los años 2014 , 2015 y 2016 en salidas, una vez se tenga toda la información se inicia la medición para el año 2018</t>
  </si>
  <si>
    <t>A Junio 30 de 2018 : II Trimestre 2018:  Para determinar la reducción aproximada no se utiliza la fórmula planteada en el Plan Estratégico Institucional objetivo No. 7 (Reducción de emisiones de CO2) al considerarse que no existe un sistema de información que suministre la información de las variables que hacen parte de la formula; solo se utiliza el aplicativo IFSET (Calcula el estimado de reducción de combustible) y se determinan las variables de cada escenario que son requeridas por este sistema. Se analizan las operaciones de salida y llegada para las vigencias 2014 y 2015 hallándose una reducción del 14% por vigencia. Con el fin de tener un dato mas real y de construir la línea base se determinara el estimado para la reducción de  la vigencia 2016 el cual será entregado en Sep. 2018 y de la vigencia 2017 será entregado en Dic 2018.  Para este tarea tomaremos los cuatro años como parámetro de referencia para los avances. De 4, se lleva 2 vigencias y parte del 2016.  Para un avance del  65%</t>
  </si>
  <si>
    <t>8. Estado de cumplimiento ambiental</t>
  </si>
  <si>
    <t>Según lo reportado por parte del área encargada del diligenciamiento de este indicador, se informa que el contrato 17000986 H3 se encuentra con un porcentaje de avance del 50%, además se notifica que a la fecha se ha presentado la totalidad de los informes de las primeras visitas realizadas de interventoría ambiental a los aeródromos.</t>
  </si>
  <si>
    <t xml:space="preserve">el contrato 17000986 H3 se encuentra terminado y liquidado al 31 de Dic de 2017, donde se reporta el cumplimiento en los 25 aeropuertos objeto del contrato </t>
  </si>
  <si>
    <t>Para el año 2018 se contratara nuevamente la interventoría ambiental para 29 aeropuertos, actualmente esta en proceso de contratación; corresponde a las etapas del proyecto, se anexa informe.</t>
  </si>
  <si>
    <t>DSA</t>
  </si>
  <si>
    <t>FOMENTAR LA COBERTURA Y CRECIMIENTO DE LA AVIACIÓN CIVIL</t>
  </si>
  <si>
    <t>9. Crecimiento de la aviación civil</t>
  </si>
  <si>
    <t>Pasajeros movilizados
Toneladas movilizadas</t>
  </si>
  <si>
    <t xml:space="preserve"> 24,16 millones de pasajeros.
547 millones de toneladas</t>
  </si>
  <si>
    <t>La tendencia creciente que existía a mediados del año 2014 e inicios del 2015, hizo pensar que se podía continuar aumentando el número de pasajeros transportados, sin embargo, muchos factores han influido y es así, como no se ha podido alcanzar la meta de pasajeros movilizados para los años 2015 y 2016. En el año 2016 se solicitó el cambio de la meta, la cual no fue aceptada. 
La información mensual se alimenta en el aplicativo SINERGIA.</t>
  </si>
  <si>
    <t xml:space="preserve">
9. Crecimiento de la Aviación Civil
A febrero 28 de 2018 
# de pasajeros movilizados: 5.833 millones 
# de toneladas movilizadas: 129.844 toneladas 
</t>
  </si>
  <si>
    <t xml:space="preserve"># de pasajeros movilizados: 17.845.441 pasajeros  
# de toneladas movilizadas: 423.280 toneladas 
</t>
  </si>
  <si>
    <t>OTA</t>
  </si>
  <si>
    <t>10. Cobertura de la aviación civil</t>
  </si>
  <si>
    <t>24/31 = 77,4%
24/25 = 96%</t>
  </si>
  <si>
    <t xml:space="preserve">Este indicador nos indica la gestión de la Oficina de Transporte Aéreo frente a las solicitudes realizadas por las empresas aéreas interesadas en la aprobación de nuevas rutas.
</t>
  </si>
  <si>
    <t xml:space="preserve">22 rutas operadas / 82 de rutas aprobadas = 0.26
82 rutas aprobadas / 100 rutas solicitadas = 0.82
</t>
  </si>
  <si>
    <t xml:space="preserve">22 rutas operadas / 84 de rutas aprobadas = 0.261
84 rutas aprobadas / 107 rutas solicitadas = 0.785
</t>
  </si>
  <si>
    <r>
      <t>26,2%
78,5</t>
    </r>
    <r>
      <rPr>
        <strike/>
        <sz val="11"/>
        <color theme="1"/>
        <rFont val="Calibri"/>
        <family val="2"/>
        <scheme val="minor"/>
      </rPr>
      <t>%</t>
    </r>
  </si>
  <si>
    <t>11. Cumplimiento del Plan de Trabajo</t>
  </si>
  <si>
    <t>Cumplimiento del plan de trabajo de armonización de reglamentación: Se dio cumplimiento al porcentaje (65%) establecido como indicador para el año 2016 (se alcanzó el 65,6%) que corresponde a 21 normas LAR armonizadas de 32 por armonizar.</t>
  </si>
  <si>
    <t xml:space="preserve">
11. Cumplimiento del plan de trabajo de armonización de reglamentación:
CPT= 28 Normas armonizadas / 37 Normas LAR x 100
CPT= 75.67%
</t>
  </si>
  <si>
    <t>CPT= 30 Normas armonizadas / 39 Normas LAR x 100
CPT= 76.92%</t>
  </si>
  <si>
    <t>FORTALECER LA GESTIÓN Y EFICIENCIA INSTITUCIONAL</t>
  </si>
  <si>
    <t>12.Disminución de tiempos de trámites</t>
  </si>
  <si>
    <t>20 trámites OTA ---&gt; Trámites registrados en SUIT</t>
  </si>
  <si>
    <t>No obstante que el indicador establecido en el PEI refiere a la medición de 20 trámites, las mediciones se han realizado en 18 Trámites,  esto debido a que 2 de ellos se trasladaron a la Secretaria de Seguridad Aérea. Asimismo la meta se mantiene durante el cuatrienio en 15% de disminución en el tiempo de respuesta.</t>
  </si>
  <si>
    <t>Para este indicador la medición se hace semestral.</t>
  </si>
  <si>
    <t>De los 18 tramites a los cuales se les realiza la medición del indicador: 
8 tramites no recibieron solicitudes, por cuanto su medición es 0
10 tramites recibieron solicitudes, de los cuales 6 evidencian disminución de tiempos en el tramite correspondiente.</t>
  </si>
  <si>
    <t>13. Ejecución real</t>
  </si>
  <si>
    <t>Durante el cuarto trimestre del año en curso, se identificaron 36 proyectos en ejecución, los cuales conforman el universo de estudio para el diligenciamiento de este indicador. En el análisis general ponderado se obtuvieron los siguientes porcentajes: avance ejecución física del 75,23% y avance ejecución financiera del 59,64%, lo cual indica que se ha pagado menos de lo reportado.</t>
  </si>
  <si>
    <t>Se ha ejecutado el 71,79% y se ha pagado el 67,96%. Esto indica que se pago menos de lo reportado</t>
  </si>
  <si>
    <t>DIA</t>
  </si>
  <si>
    <t>14. Cumplimiento del Ingreso Proyectado Anual</t>
  </si>
  <si>
    <t>De acuerdo a lo reportado por parte del Grupo de Gestión Financiera, se informa que el valor total del recaudo al tercer trimestre del año en curso fue de $989.202.000.oo y el valor total de ingreso fue de $1.281.270.000.oo, por tal razón el porcentaje de cumplimiento fue del 77,2%</t>
  </si>
  <si>
    <t>Al presupuesto aforado le descontamos los excedentes financieros incorporados ($146,532 millones)dado que NO son recaudables.</t>
  </si>
  <si>
    <t>El cierre mensual de recaudos se obtiene los días 16 del mes subsiguiente , por tanto este indicador está calculado a junio con los siguientes datos: RECAUDOS $545,149 MILLONES/PRESUPUESTO:$502,691 MILLONES al mes de junio</t>
  </si>
  <si>
    <t>DFRA</t>
  </si>
  <si>
    <t>15. Cumplimiento Planeación Estratégica de Tecnología de la Información</t>
  </si>
  <si>
    <t>Según la ponderación realizada por parte de la Dirección Informática de todas las variables que conforman este indicador, se informa que el porcentaje de avance de este indicador corresponde al 81,22% en el cumplimiento de la Planeación Estratégica de Tecnología de la Información.</t>
  </si>
  <si>
    <t xml:space="preserve">16.1 Soluciones informáticas funcionabilidad: Sumatoria de los promedios por solución Informática /  Total de Soluciones Informáticas en producción. * 100      86%
16.2 Usabilidad de las Soluciones y Servicios: Sumatoria de los promedios por Solución o Servicio / Total de Soluciones y Servicios en producción. * 100       65%
Causa principal EL PAF BAJO SU USO ALREDEDOR 50%
16.3 Disponibilidad de Soluciones Informáticas y Servicios: Promedio de indisponibilidad por solución(Horas totales periodo evaluado - Horas de Indisponibilidad)       90,68%
16.4 Cobertura de Soluciones Informáticas: Cantidad de procedimientos automatizados y en funcionamiento / Cantidad total programada de procedimientos prioritarios a automatizar *100      75%
16. Cumplimiento del Plan Estratégico Tecnología de la Información (PETI) en términos de funcionabilidad, usabilidad, disponibilidad y cobertura      79,17%
</t>
  </si>
  <si>
    <t>16.1 Soluciones informáticas funcionabilidad: Sumatoria de los promedios por solución Informática /  Total de Soluciones Informáticas en producción. * 100      86%
16.2 Usabilidad de las Soluciones y Servicios: Sumatoria de los promedios por Solución o Servicio / Total de Soluciones y Servicios en producción. * 100       65%
Causa principal EL PAF BAJO SU USO ALREDEDOR 50%
16.3 Disponibilidad de Soluciones Informáticas y Servicios: Promedio de indisponibilidad por solución(Horas totales periodo evaluado - Horas de Indisponibilidad)       99%
16.4 Cobertura de Soluciones Informáticas: Cantidad de procedimientos automatizados y en funcionamiento / Cantidad total programada de procedimientos prioritarios a automatizar *100      75%
16. Cumplimiento del Plan Estratégico Tecnología de la Información (PETI) en términos de funcionabilidad, usabilidad, disponibilidad y cobertura      81%</t>
  </si>
  <si>
    <t>INFORMATICA</t>
  </si>
  <si>
    <t>16. Cumplimiento del programa de Gestión de Talento Humano</t>
  </si>
  <si>
    <t>El porcentaje de cumplimiento reportado corresponde a la ponderación y evaluación de las actividades competentes de Gestión de Talento Humano (Vacantes, capacitación, incentivos, evaluación del desempeño, salud ocupacional y bienestar social).</t>
  </si>
  <si>
    <t xml:space="preserve">
Se llevo a cabo la caracterización de la planta de personal en el aplicativo Kactus.
Se estableció un plan de trabajo para levantar y actualizar los Manuales de Funciones y Competencias Laborales de la Secretaría de Sistemas y de Seguridad Operacional y de la Aviación Civil. 
Se revisó y aprobó el Plan de Bienestar 2018.
Se elaboró el proyecto de Resolución sobre incentivos, el cual se encuentra en revisión y ajustes por parte de unos de los abogados de la Dirección de Talento Humano.  
Se llevaron a cabo reuniones  con el CEA el 2 y 7 de marzo de 2018 para aclarar las funciones de cada área en el tema Plan Institucional de Capacitación. Igualmente, se abordaron temas como Reinducción e Inducción. 
Se estableció como estrategia de prevención y promoción de salud en el trabajo a nivel nacional, la realización del Congreso Nacional de Seguridad y Salud en el Trabajo, en su versión VII. 
Con respecto a la deuda presunta notificada por Colpensiones, el Grupo de Nóminas adelantado la revisión del personal de la base de datos en retiro. En cifras, aproximadamente un 28% de los documentos en consulta coincidieron con la carpeta resumen, documentos que serán puestos en revisión y paso siguiente se anexara los comprobantes de pago para hacer efectivo el descuento en la deuda real que se obtuvo con el ente pensional.  AVANCE 18%
META 100%
</t>
  </si>
  <si>
    <t>La Dirección de Talento Humano en conjunto con el Grupo de Inspección de Operaciones de la Dirección de Estándares de Vuelo, terminó el ajuste al Manual Especifico de Funciones y Competencias Laborales, para los empleos denominados Inspector de Seguridad Aérea pertenecientes al Grupo de Inspección de Operaciones de la Dirección de Estándares de Vuelo (Pilotos). Se expide la resolución 01920 de julio 5 de 2018.
Continua en ejecución el plan de trabajo para las Secretarias de Seguridad Operacional y de la Aviación Civil, y de Sistemas Operacionales. 
Se elaboró y publicó  el estudio de verificación de requisitos para Controlador Tránsito Aéreo Grados 25, 24, 23, 22, 21, 19, 17 y 16.
Se continúa en la verificación de requisitos de funcionarios AIS/COM/MET.
Se elaboró el proyecto de decreto de planta de personal, según los datos obtenidos del Estudio Técnico.
Se elaboró el Proyecto de Decreto de la Modificación a la Estructura Actual de la Aeronáutica Civil. 
Se elaboró un proyecto de Decreto de modificación al Sistema de Nomenclatura y Clasificación de empleos. 
El proyecto de resolución se ajustó y se  encuentran en la Secretaría General para revisión y aprobación.
Nuevamente para ésta etapa del proceso se acude al uso del equipo móvil de uno de los funcionarios del grupo; continúa pendiente la asignación del celular a ésta área de la DTH. 
El 17 mayo 2018 se habilitó en la plataforma el certificado digital a nombre de la actual directora y se han aplicado los siguientes movimientos:
May: 1 novedad $42,361,380  (2.46%)
Jun: 22 novedades $382,578,847  (22,25%)
Para éste bimestre se han registrado 31 novedades de las cuales 8 han sido rechazadas y están en validación por corresponder a exfuncionarios del régimen especial.
Deuda inicial año 2018 $1,719,187,808
Saldo a cierre mes Junio $1,276,868,018</t>
  </si>
  <si>
    <t>TH</t>
  </si>
  <si>
    <t xml:space="preserve">17. Satisfacción de los clientes </t>
  </si>
  <si>
    <t>De acuerdo a la encuesta realizada por parte del Grupo de Atención al Ciudadano, únicamente el 39% del universo encuestado considera que el servicio prestado por la entidad es bueno o excelente, por tal razón se deben establecer estrategias de mejora, a fin de optimizar los servicios prestados.</t>
  </si>
  <si>
    <t>En el 2018 se realizó una primera encuesta que midiera el nivel de satisfacción de los usuarios de Licencias en cuanto a los trámites adelantados en dicha dependencia, el informe se encuentra publicado en la página web de la Entidad desde el 24 de abril, en este se evidencia niveles  de satisfacción del 58% de licencias. El nivel bajo debido a la transición de la puesta en marcha del aplicativo SIGA que salió al aire el 06 de marzo.
 Para el segundo trimestre abril- junio se realizó un sondeo a través de la encuesta para ver el grado de conocimiento de los servicios  de cara a la certificación obtenida por el CEA para medir el conocimiento  de la comunidad  de los servicios prestados por el CEA, especialmente en temas relacionados con la capacitación. El resultado de dicha encuesta que el 70% conoce de los servicios del CEA.  El informe se encuentra publicado desde el 05 de julio, el resultado fue satisfactorio por parte de los usuarios del CEA.  Así mismo se hicieron recomendaciones para mejorar la divulgación y promoción de los cursos que ofrece el CEA. Para el el segundo trimestre se tiene previsto realizar encuestas de transporte aéreo y atención al ciudadano
http://www.aerocivil.gov.co/atencion/participacion/informes</t>
  </si>
  <si>
    <t>SG</t>
  </si>
  <si>
    <t xml:space="preserve">18. Reducción de tiempos </t>
  </si>
  <si>
    <t>Por lo reportado se infiere que el Grupo de Atención al Ciudadano no está dando respuesta a las QR dentro de los términos establecidos por ley.</t>
  </si>
  <si>
    <t>Se evidencia que hay una disminución de las QR recibidas en la entidad y se disminuyó los días de respuesta comparada el trimestre anterior. Es importante continuar con el seguimiento a las QR, especialmente en ser más efectivos en las respuestas frente a los días en los que se deben brindar dichas respuestas a los ciudadanos. Adicionalmente es importante precisar que se debe  reiterar que  el  canal de respuesta es  a través del ADI, de so ser así no se puede realizar un control efectivo . J:\3006-Atencion al Ciudadano\2018\250 Informes\De Gestión  (41 ( QR no atendidas)/1,4 (promedio de QR diarias es el total de QR recibidas sobre días hábiles del periodo)=29 DIAS</t>
  </si>
  <si>
    <t>19. Cumplimiento Programa de Gestión Documental</t>
  </si>
  <si>
    <t>El Programa de Gestión Documental tiene proyectado un avance equivalente al 25% por trimestre,  razón por la cual el avance reportado se encuentra acorde a las metas establecidas.</t>
  </si>
  <si>
    <t>Teniendo en cuenta la resolución #1357 del 17 de mayo de 2017, se trabajo en la actualización y creación de nuevas Tablas de Retención Documental, esta pendiente presentar al Comité  Institucional de Gestión y Desempeño para su aprobación y poder continuar con la siguiente fase. Adicionalmente  la dirección Administrativa esta en Orgalizar, Foliar, Digitalizar los archivos de gestión de los años 2016, 2017 y 2018
Para cumplir con el indicar, se realizo capacitación por parte de área de informatica con respecto al almacenammiento en el servidor de acuerdo a la tabla de retención documental.
Evidencia: BOG7 / Administrativa,Contractual,Precontractual, Servicios generales, Seguros, Almacen.</t>
  </si>
  <si>
    <t>DADM</t>
  </si>
  <si>
    <t>20. Rediseño institucional</t>
  </si>
  <si>
    <t>Las fases de diagnóstico organizacional y propuesta se realizaron durante el año 2015 y parte de 2016. Aún se tiene por definir la aceptación o rechazo de la propuesta por parte de la entidad.</t>
  </si>
  <si>
    <t xml:space="preserve">Las fases de diagnóstico organizacional y propuesta se realizaron durante el año 2015 y parte de 2016.    
Bahamon ya entregó el informe final, lo que está 
Pendiente por definir es sí la Administración desea ejecutar esta propuesta. 
AVANCE 100% - META 100%
</t>
  </si>
  <si>
    <t>Las fases de diagnóstico organizacional y propuesta se realizaron durante el año 2015 y parte de 2016.  Estudio que fue socializado con las asociaciones sindicales durante la negociación colectiva 2016 - 2017.   
La firma consultora hace entrega de informe final en el mes de septiembre de 2016 a la Dirección de Talento Humano.  
AVANCE 100% - META 100%</t>
  </si>
  <si>
    <t>21. Certificación IES para el CEA</t>
  </si>
  <si>
    <t>Se encuentra en una fase de transición de Institución de Educación Superior (IES) a Centro de Instrucción Aeronáutica (CIA)</t>
  </si>
  <si>
    <t>Mediante Resolución No. 2909 del 21 de febrero de 2018, el Ministerio de Educación Nacional, MEN, se autoriza  la asignación del código  SNIES   y  autoriza al Centro de Estudios Aeronáuticos-CEA de la Aerocivil, la posibilidad de ofrecer y desarrollar programas académicos de educación superior, soportados en las políticas de gestión de la educación acorde a lo establecido en la Ley 105 de 1993, en el artículo 137 de la ley 30 1992. 
El viernes 23 de febrero de 2018 vía electrónica se comunica a la comunidad del Centro de Estudios Aeronáuticos las felicitaciones por el logro alcanzado de recibir la certificación que acredita al CEA como Institución de Educación Superior, y de igual manera el 10 de marzo de 2018 se realizó un evento en el auditorio Rafael Valdez Tavera para el mismo fin.</t>
  </si>
  <si>
    <t>El viernes 23 de febrero de 2018 vía electrónica se comunica a la comunidad del Centro de Estudios Aeronáuticos las felicitaciones por el logro alcanzado de recibir la certificación que acredita al CEA como Institución de Educación Superior, y de igual manera el 10 de marzo de 2018 se realizó un evento en el auditorio Rafael Valdez Tavera para el mismo fin.</t>
  </si>
  <si>
    <t>CEA</t>
  </si>
  <si>
    <t>% A JUNIO (SOLO 2018)</t>
  </si>
  <si>
    <t>% ACUMULADO A 2018</t>
  </si>
  <si>
    <t xml:space="preserve">Aeropuertos con obras de construcción y ampliación de aeropuertos terminados - Aerocivil </t>
  </si>
  <si>
    <t xml:space="preserve">Intervenciones terminadas en mantenimiento de infraestructura aeroportuaria (iguales o superiores a $800 millones) </t>
  </si>
  <si>
    <t>71.43%</t>
  </si>
  <si>
    <t>12.5%</t>
  </si>
  <si>
    <t xml:space="preserve">Aeropuertos para la prosperidad intervenidos - Aerocivil </t>
  </si>
  <si>
    <t>6.67%</t>
  </si>
  <si>
    <t>14.71%</t>
  </si>
  <si>
    <t>13.18%</t>
  </si>
  <si>
    <t>Avance Ejecución por Programas Vs Metas</t>
  </si>
  <si>
    <t>Avance por Áreas Reserva</t>
  </si>
  <si>
    <t>SINERGIA</t>
  </si>
  <si>
    <t xml:space="preserve">  EJECUCIÓN TERCER TRIMESTRE</t>
  </si>
  <si>
    <t>METAS  PROPUESTAS 
A SEPTIEMBRE 2018</t>
  </si>
  <si>
    <t>DIRECCIÓN GENERAL</t>
  </si>
  <si>
    <t>C-2409-0600-7</t>
  </si>
  <si>
    <t>83.6%</t>
  </si>
  <si>
    <t>INVESTIGACIÓN DE ACCIDENTES E INCIDENTES AÉREOS EN EL TERRITORIO NACIONAL</t>
  </si>
  <si>
    <t>EJECUCIÓN A SEPTIEMBRE</t>
  </si>
  <si>
    <t>AVANCE III TRIMESTRE 2018</t>
  </si>
  <si>
    <t>% A SEPTIEMBRE (SOLO 2018)</t>
  </si>
  <si>
    <t>OBSERVACIONES 30 DE SEPTIEMBRE DE 2018</t>
  </si>
  <si>
    <t xml:space="preserve">Entre los meses de Julio a Septiembre, de 32 empresas programadas se han vigilado por parte del Grupo de Operaciones 16 empresas y por parte de Aeronavegabilidad se vigilaron 15 empresas para un total de 31 empresas vigiladas, el avance promedio de vigilancia SMS alcanzo un 96% de cumplimiento.
</t>
  </si>
  <si>
    <t>La medición del indicador se deja con el mismo % del 2do trimestre, ya que en la información suministrada por parte del área, no se refleja la medición para el tercer trimestre.</t>
  </si>
  <si>
    <t xml:space="preserve">ABRIL 2018
AHORRO PROMEDIO EN TIEMPO DE REDUCCION POR RUTA LLEGADAS A SKBO
En el tiempo analizado en el mes de Abril, se puede evidenciar un ahorro en tiempo del -0,09 en la ruta SKPS – SKBO y tiempo de más gastado en la ruta SKAS – SKBO 5.4sgs.
PROMEDIO DE PORCENTAJE DE REDUCCION POR RUTA LLEGADAS SKBO –ABRIL 2018
Así mismo, para el mismo mes de Abril/18, se puede evidenciar una reducción promedio del -0.7% en la ruta SKRH – SKBO y en aumento del 7.44% en la ruta SKCO – SKBO. Es importante aclarar que las rutas SKPQ-SKBO presentan un incremento en la llegada de 22,35%, dado que durante el mes presentaron en promedio 14 operaciones, viéndose incrementado el porcentaje de ruta de llegada.
MAYO 2018
AHORRO PROMEDIO EN TIEMPO DE REDUCCION POR RUTA LLEGADAS A SKBO
En el tiempo analizado en el mes de Mayo, se puede evidenciar un ahorro en tiempo del -0.2% en las rutas SKNV – SKBO Y SKSP - SKBO y tiempo de más gastado en las rutas SKAS – SKBO 6.8 seg y SKCO – SKBO con 8.1 seg.
PROMEDIO DE PORCENTAJE DE REDUCCION POR RUTA LLEGADAS SKBO – MAYO 2018
Así mismo, para el mismo mes de Mayo/18, se puede evidenciar una reducción promedio del -0,2% en la ruta SKSP – SKBO y en aumento del 10.4% en la ruta SKCO – SKBO. 
JUNIO 2018
AHORRO PROMEDIO EN TIEMPO DE REDUCCION POR RUTA LLEGADAS A SKBO
En el tiempo analizado en el mes de Junio, se puede evidenciar un ahorro en tiempo del -0,2 en la ruta SKVPZ – SKBO y tiempo de más gastado en la ruta SKAS – SKBO 7.9 sg.
PROMEDIO DE PORCENTAJE DE REDUCCION POR RUTA LLEGADAS SKBO – JUNIO 2018
Así mismo, para el mismo mes de Junio/18, se puede evidenciar una reducción promedio del -0,2% en la ruta SKPS – SKBO y SKVP – SKBO y en aumento del 9.9% en la ruta SKCO – SKBO. Es importante mencionar que el aeropuerto SKSA, tuvo cumplimiento de 0,0%, dado que sus tiempos de salida, se mantuvieron en el rango de -0,2 y -0.8 sgs.
JULIO 2018
AHORRO PROMEDIO EN TIEMPO DE REDUCCION POR RUTA LLEGADAS A SKBO
En el tiempo analizado en el mes de Julio, se puede evidenciar un ahorro en tiempo del -0,06 en la ruta SKBQ – SKBO y tiempo de más gastado en la ruta SKCO – SKBO 6,5sgs.
PROMEDIO DE PORCENTAJE DE REDUCCION POR RUTA LLEGADAS SKBO –JULIO 2018
Así mismo, para el mismo mes de Juliol/18, se puede evidenciar una reducción promedio del -0.11% en la ruta SKBQ – SKBO y en aumento del 9.48% en la ruta SKUI – SKBO. 
AGOSTO 2018
AHORRO PROMEDIO EN TIEMPO DE REDUCCION POR RUTA LLEGADAS A SKBO
En el tiempo analizado en el mes de Agosto, se puede evidenciar un ahorro en tiempo del -0.06% en las rutas SKPE – SKBO Y SKS-0,16 SKPS - SKBO y tiempo de más gastado en las rutas SKUI – SKBO 3,32.
PROMEDIO DE PORCENTAJE DE REDUCCION POR RUTA LLEGADAS SKBO – AGOSTO 2018
Así mismo, para el mismo mes de Agosto/18, se puede evidenciar una reducción promedio del -0,3% en la ruta SKSP – SKBO y en aumento del 17,95% en la ruta SKPQ – SKBO. 
SEPIEMBRE 2018
AHORRO PROMEDIO EN TIEMPO DE REDUCCION POR RUTA LLEGADAS A SKBO
En el tiempo analizado en el mes de Septiembre, se puede evidenciar un ahorro en tiempo del -0,04 en las rutas SKPE – SKBO y SKFL – SKBO y tiempo de más gastado en la ruta SKPS – SKBO 2,68sgs.
PROMEDIO DE PORCENTAJE DE REDUCCION POR RUTA LLEGADAS SKBO – SEPTIEMBRE 2018
Así mismo, para el mismo mes de Septiembre/18, se puede evidenciar una reducción promedio del -0,99% en la ruta SKMR – SKBO y en aumento del 6.95% en la ruta SKIB – SKBO. 
Conclusion:Se evidencia que se ha mejorado la eficiencia en la operación nacional doméstica, dado que los tiempos de vuelo se han reducido notablemente con la meta propuesta. 
Así mismo es importante mencionar que esta estos datos son una muestra dado que no se tiene la información completa del AMHS, por lo cual no se puede definir el dato completo para el indicador.
A partir del 02 de septiembre que se tomó prueba la no implementación de la medida operacional del GDP, se controla más eficientemente, la demanda operacional, dado que se tiene en cuenta la hora estimada del plan de vuelo
</t>
  </si>
  <si>
    <t xml:space="preserve"> A Septiembre 30  de 2018 El avance de las metas del PNA  por cada una de las Direcciones Asi: DSNA 50% correponde a las actividades a realizar en los ASBUS Modulo 0(2014-2018) se realizo el dia del PNA sep 10 donde se actualizo estas actividades , DIA:83.79% ,DSA 16.5</t>
  </si>
  <si>
    <t>En el tercer trimestre de 2018 no se presentaron Actos de Interferencia Ilicita.
Nota: Para el proximo cuatrienio se replanteará el indicador, toda vez que la ocuerrencia de un Acto de Interferencia Ilicita, no refleja el cumplimiento, ni la gestión de las actividades llevadas a cabo por parte de la Autoridad de Seguridad de la Aviación, tendientes a controlar o mitigar la ocurrencia de los mismos.</t>
  </si>
  <si>
    <t xml:space="preserve">El Grupo de Inspección de Seguridad de Aviación Civil y la Facilitación en el tercer trimestre de 2018 participó en 2 Comités Locales de Facilitación en los siguientes Aeropuertos:  Aeropuerto Internacional Rafael Núñez de Cartagena
- Aeropuerto Internacional Alfonso Bonilla Aragón de Cali
Nota: No es posible establecer un porcentaje de avance, dado que el planteamiento de este indicador esta orientado a la reducción de tiempos de servicio y esta información no esta al alcance de la Entidad.
Para el próximo cuatrienio se replanteará el indicador, toda vez que no es posible realizar una medición de tiempos, ya que la Facilitación es un concepto de gestión entre las Autoridades involucradas en las medidas y procedimientos aplicables en los Aeropuertos; y dentro de la facultades de la Entidad no esta la de controlar los procedimientos establecidos por otras Entidades.
Es importante aclarar que este indicador fue trasladado a esta Dependencia por parte del Grupo de Planes Maestros.
Evidencia: Bog7, en la siguiente ruta: L:\5302-Inspeccion Segur Avi Civ y Facilitación\2018\Administrativo\Indicadores PEI.
</t>
  </si>
  <si>
    <t xml:space="preserve">En salidas y llegadas en  aeropuertos internacaionales , la reduccion del CO2  es de 14% promedio  según linea base que se ha construido de las vigencias 2014-2015-2016 , Se aclara que la construccion del indicador en la linea base del indicador esta en el 70% </t>
  </si>
  <si>
    <t xml:space="preserve">Se ha realizado dos visitas establecidas para los 29 aeropuertos, se ha desarrollado la primera visita a 28 aeropuertos, lo cual puede indicar que vamos en un 49% de cumplimiento con respecto a este indicador. </t>
  </si>
  <si>
    <t xml:space="preserve">A septiembre 30 de 2018 
# de pasajeros movilizados: 27.649.965 pasajeros  
# de toneladas movilizadas: 625.252 toneladas 
</t>
  </si>
  <si>
    <t>26,2%
78,5%</t>
  </si>
  <si>
    <t xml:space="preserve">CPT= 31 Normas armonizadas / 39 Normas LAR x 100
CPT= 79.50%
</t>
  </si>
  <si>
    <t>Se ha ejecutado el 78,67% y se ha pagado el 74,30%.</t>
  </si>
  <si>
    <t>16.1 Soluciones informáticas funcionabilidad: Sumatoria de los promedios por solución Informática /  Total de Soluciones Informáticas en producción. * 100 86%
16.2 Usabilidad de las Soluciones y Servicios: Sumatoria de los promedios por Solución o Servicio / Total de Soluciones y Servicios en producción. * 100 65%
16.3 Disponibilidad de Soluciones Informáticas y Servicios: Promedio de indisponibilidad por solución(Horas totales periodo evaluado - Horas de Indisponibilidad) 99%
16.4 Cobertura de Soluciones Informáticas: Cantidad de procedimientos automatizados y en funcionamiento / Cantidad total programada de procedimientos prioritarios a automatizar *100 75%
16. Cumplimiento del Plan Estratégico Tecnología de la Información (PETI) en términos de funcionabilidad, usabilidad, disponibilidad y cobertura 81%</t>
  </si>
  <si>
    <t>Se avanzó con la actualización de los perfiles correspondientes al Grupo de Inspección de Operaciones / Dirección Estándares de Vuelo, referentes a: ingenieros de vuelo, tripulantes de cabina de pasajeros, despachadores de aeronaves y mercancías peligrosas.
Se avanzó con la actualización de los perfiles correspondientes a los Grupos de la Dirección Estándares de Vuelo, referentes a: Grupo de Inspección de Servicios a la Navegación Aérea, Grupo Certificación de Productos Aeronáuticos y Grupo Inspección de Aeronavegabilidad
Continua en ejecución el plan de trabajo para las Secretaria de Seguridad Operacional y de la Aviación Civil y de Sistemas Operacionales.
Se publicó en agosto 14  de 2018 el Estudio de  Verificación de Requisitos para el otorgamiento de encargos o nombramiento provisional en el nivel Técnico o Auxiliar que tienen asignadas funciones especificos de los servicios AIS/COM/MET Grados 25, 23, 22, 21, 18, 15 y 13.
Se publicó en agosto 15 de 2018 aclaración al Estudio de  Verificación de Requisitos para el otorgamiento de encargos o nombramiento provisional en el nivel de Inspector de Seguridad Aérea Grado 27 (Perfil Piloto - Operaciones).
Se publicó en septiembre 26 de 2018 el Estudio de  Verificación de Requisitos para el otorgamiento de encargos o nombramiento provisional de Controlador de Tránsito Aéreo Grado 25.
Se completó el análisis de toda la planta de personal y se elaboró informe, éste fue presentado a la Secretaria General. 
e entregó por parte de Informática el link sobre PIC 2019 en la Intranet para el diligenciamiento de los  los formatos “Diagnóstico de Necesidades de Aprendizaje Organizacional (DNAO)” e “Información sobre Pre-registro para capacitación". 
Se remitió a las áreas  circular sobre el PIC 2019 con plazo de diligenciamiento hasta el 31 de agosto de 2018.
En septiembre 12 de 2018 por informaciondeinteres@aerocivil.gov.co, se comunió acerca de la ampliación del plazo para el diligenciamiento del diagnóstico de necesidades del PIC 2019, el cual finalizaba el 28 de septiembre de 2018.
Finalizado el  mes de septiembre la deuda presunta va en $2,177,482,387,</t>
  </si>
  <si>
    <t>En el 2018 se realizó una primera encuesta que midiera el nivel de satisfacción de los usuarios de Licencias en cuanto a los trámites adelantados en dicha dependencia, el informe se encuentra publicado en la página web de la Entidad desde el 24 de abril, en este se evidencia niveles  de satisfacción del 58% de licencias. El nivel bajo debido a la transición de la puesta en marcha del aplicativo SIGA que salió al aire el 06 de marzo.
 Para el segundo trimestre abril- junio se realizó un sondeo a través de la encuesta para ver el grado de conocimiento de los servicios  de cara a la certificación obtenida por el CEA para medir el conocimiento  de la comunidad  de los servicios prestados por el CEA, especialmente en temas relacionados con la capacitación. El resultado de dicha encuesta que el 70% conoce de los servicios del CEA.  El informe se encuentra publicado desde el 05 de julio, el resultado fue satisfactorio por parte de los usuarios del CEA.  Así mismo se hicieron recomendaciones para mejorar la divulgación y promoción de los cursos que ofrece el CEA. Para el el segundo trimestre se tiene previsto realizar encuestas de transporte aéreo y atención al ciudadano
En el tercer trimestre se realizó la encuesta para medir los niveles de satisfacción de los servicios prestados por la Oficina de Transporte Aéreo la cual fue enviada a 424 empresas que cuentan con permiso  de operación vigente (listado suministrado por la Oficina de Transporte Aéreo),  de los cuales 74 empresas diligenciaron la encuesta obteniendo los siguientes resultados,  En términos generales los trámites y servicios que presta la Oficina de Transporte Aéreo son adecuados, no obstante, debe mejorar los niveles de satisfacción de servicio, ya que los algunos usuarios son indiferentes frente a la oportunidad y eficiencia que brinda la dependencia a la hora de atender cualquier requerimiento, no existe un proceso de retroalimentación de satisfacción del mismo, por tanto, las empresas se muestras indiferentes frente al servicio, al evidenciarse que el 64 % se encuentra satisfecho con la prestación del servicio, mientras que el 10 % se encuentra insatisfecho, también es importante destacar que un 26 % de las empresas encuestas se muestran imparciales frente a los servicios prestado por esta dependencia.
En este mismo sentido, las empresas, la hacer sus observaciones, consideraron que se mantuviera el correo electrónico para la radicación de la documentación, ven a este canal de comunicación como una herramienta efectiva a la hora de presentar sus solicitudes o trámites ante la entidad.
http://www.aerocivil.gov.co/atencion/participacion/informes</t>
  </si>
  <si>
    <t>Se evidencia que hay una disminución de las QR recibidas en la entidad y se disminuyó los días de respuesta comparada el trimestre anterior. Es importante continuar con el seguimiento a las QR, especialmente en ser más efectivos en las respuestas frente a los días en los que se deben brindar dichas respuestas a los ciudadanos. Adicionalmente es importante precisar que se debe  reiterar que  el  canal de respuesta es  a través del ADI, de so ser así no se puede realizar un control efectivo . J:\3006-Atencion al Ciudadano\2018\250 Informes\De Gestión  (34 ( QR no atendidas)/1,33 (promedio de QR diarias es el total de QR recibidas sobre días hábiles del periodo)=26 DIAS</t>
  </si>
  <si>
    <t xml:space="preserve">Teniendo en cuenta la resolución #1357 del 17 de mayo de 2017, se trabajo en la actualización y creación de nuevas Tablas de Retención Documental, esta pendiente presentar al Comité  Institucional de Gestión y Desempeño para su aprobación y poder continuar con la siguiente fase. </t>
  </si>
  <si>
    <t>Para cumplir con el indicar, se realizo capacitación por parte de área de informatica con respecto al almacenammiento en el servidor de acuerdo a la tabla de retención documental.</t>
  </si>
  <si>
    <t>El Indicador estrategico cumplido, se encuentra en tramite la expedición de la Resolución ajustando el nombre del Área.</t>
  </si>
  <si>
    <t>NA</t>
  </si>
  <si>
    <t xml:space="preserve">26,2%
</t>
  </si>
  <si>
    <t>96.36%</t>
  </si>
  <si>
    <t>13.33%</t>
  </si>
  <si>
    <t>Pasajeros movilizados por años entre los aeropuertos del país (millones)</t>
  </si>
  <si>
    <t>Pasajeros movilizados en el Aeropuerto Internacional El Dorado (incluye pasajeros en tránsito)</t>
  </si>
  <si>
    <t>OBSERVACIONES 31 DE DICIEMBRE  2018</t>
  </si>
  <si>
    <t>AVANCE IV TRIMESTRE 2018</t>
  </si>
  <si>
    <t>Sobre el Manual Específico de Funciones y de Competencias Laborales en la Secretaría de Seguridad Operacional y de la Aviación Civil se logró un avance en el total de las áreas de 82%. Los Grupos Inspección de Operaciones, Inspección de Aeronavegabilidad, Certificación de Productos Aeronáuticos, Inspección a los Servicios de Navegación Aérea y Factores Humanos, Certificación y Educación Aeromédica alcanzaron un 100%, el Grupo Licencias PEL 90%, el Grupo de Certificación e Inspección Aeródromos y Servicios Aeroportuarios 37% y el Grupo AVSEC 27%.
De igual manera, en la Secretaría de Sistemas Operacionales se logró un avance en el total de las áreas de 60%, distribuidos así: Controladores de Tránsito Aéreo 63%, AIS/COM/MET 36%, Grupo Soporte Técnico 47%, Bomberos Aeronáuticos (SEI) 80% y Salvamento y Extinción de Incendios (SAR) 75%.
Se realizaron y publicaron los estudios de verificación de requisitos para los siguientes empleos:
 Controlador de Tránsito Aéreo Grado 25
Técnico Aeronáutico con funciones AIS/COM/MET Grados 25,23,22,21,15,15 y 13.
Bombero Aeronáutico Grados 13 y 12 
Especialista Aeronáutico Grado 39 
Auxiliar Aeronáutico con funciones administrativas Grado 12.
Aprobación y publicación de la Resolución No. 3242 de octubre de 2018 
“Por medio del cual se adopta el Programa Institucional de Incentivos en el marco del Programa de Bienestar Social e Incentivos  para los empleados de la Unidad Administrativa Especial de Aeronáutica Civil y se dictan otras disposiciones”
Se presentó el Plan Institucional de Capacitación - PIC 2019 al Consejo Directivo del Centro de Estudios Aeronáuticos, quien revisó y aprobó el documento.
Se gestionó con la Dirección de Servicios a la Navegación Aérea el diseño de los planes de contingencia de torres y centros de control a cargo de ellos.
Se consolidaron los procesos de formación de brigadas de emergencia de servidores públicos
 que laboran en torres y centros de control. 
Se contó con la participación de controladores en los simulacros de evacuación.
En los proyectos de aeropuertos mejorados a cargo de la Dirección de Infraestructura debe estar contemplado el cumplimiento normativo en materia de salidas de emergencia.
Se gestionó comunicación a los Directores Regionales reiterando que los diseños nuevos y mejoras incluyan este cumplimiento en la infraestructura aeroportuaria..</t>
  </si>
  <si>
    <t>OCTUBRE 2018
AHORRO PROMEDIO EN TIEMPO DE REDUCCION POR RUTA LLEGADAS A SKBO
En el tiempo analizado en el mes de Octubre, se puede evidenciar un ahorro en tiempo del -0,10 en la ruta SKPS – SKBO y tiempo de más gastado en la ruta SKPS – SKBO 4.5sgs.
PROMEDIO DE PORCENTAJE DE REDUCCION POR RUTA LLEGADAS SKBO –JULIO 2018
Así mismo, para el mismo mes de Octubre/18, se puede evidenciar una reducción promedio del -0.13% en la ruta SKLC – SKBO y en aumento del 12.2% en la ruta SKIB – SKBO y del 9.2% en la ruta SKPS -SKBO.
NOVIEMBRE 2018
AHORRO PROMEDIO EN TIEMPO DE REDUCCION POR RUTA LLEGADAS A SKBO
En el tiempo analizado en el mes de Noviembre, se puede evidenciar un ahorro en tiempo del -0.38% y -0.39% en las rutas SKCC – SKBO Y SKUI - SKBO y tiempo de más gastado en las rutas SKPSS – SKBO 4.63 seg y SKPC – SKBO con 3.4 seg.
PROMEDIO DE PORCENTAJE DE REDUCCION POR RUTA LLEGADAS SKBO – AGOSTO 2018
Así mismo, para el mismo mes de Noviembre/18, se puede evidenciar una reducción promedio del -0,22% en la ruta SKUI – SKBO y en aumento del 9.52% en la ruta SKPS – SKBO y del 6.55% en la ruta SKIB-SKBO.
DICIEMBRE 2018
AHORRO PROMEDIO EN TIEMPO DE REDUCCION POR RUTA LLEGADAS A SKBO
En el tiempo analizado en el mes de Diciembre, se puede evidenciar un ahorro en tiempo del -0,09 en la ruta SKLT – SKBO y del -0.18% en la ruta SKSP-SKBO y  tiempo de más gastado en la ruta SKPS – SKBO 4.8 sg, seguido de la ruta SKIB-SKBO con 4.5 segs.
PROMEDIO DE PORCENTAJE DE REDUCCION POR RUTA LLEGADAS SKBO – SEPTIEMBRE 2018
Así mismo, para el mismo mes de Diciembre/18, se puede evidenciar una reducción promedio del -0,08% en la ruta SKSP – SKBO y del -0.10% SKLT – SKBO y en aumento del 19.28% en la ruta SKIB – SKBO y del 9.54% en la ruta SKPS-SKBO. Es importante mencionar que el aeropuerto SKPC, tuvo cumplimiento de 0,0%, dado que sus tiempos de salida, se mantuvieron en el rango de -0,7 y -0.2 sgs.</t>
  </si>
  <si>
    <t>En el IV trimestre se realizó la contratación No 18000707 H3 de 2018 con el Consorcio AQV-TF INTERVENTORIA 2018 para evaluar ambientalmente el estado de 29 aeropuertos. 
Contrato este que fue finalizado el 30 de diciembre de 2018.
Se encuentra en revisión por parte de la supervisión para ajustes debido a que los entes ambientales allegaron autos de seguimiento en el mes de diciembre. Por lo que el resultado del indicador puede llegar a variar dependiendo de los resultados finales de la revisión de los informes entregados de cada uno de los 29 aeropuertos.</t>
  </si>
  <si>
    <t xml:space="preserve">En salidas y llegadas en  aeropuertos internacaionales , la reduccion del CO2  es de 14% promedio  según linea base que se ha construido de las vigencias 2014-2015-2016 , </t>
  </si>
  <si>
    <t xml:space="preserve">El Indicador estrategico cumplido, en diciembre -2018  obtención de asignación Sistema Nacional de Información para la Educación Superior – SNIES con código institucional No. 9934
</t>
  </si>
  <si>
    <t xml:space="preserve">Datos 4°trimestre de 2018:
2017: 6 accidentes
2018: 0 accidentes
Se adjunta presentación entregada por el Grupo de Investigación de Accidentes </t>
  </si>
  <si>
    <t>N/A</t>
  </si>
  <si>
    <t>En el cuarto trimestre de 2018 no se presentaron Actos de Interferencia Ilícita.
Nota: Para el próximo cuatrienio se replanteará el indicador, toda vez que la ocurrencia de un Acto de Interferencia Ilícita no refleja el cumplimiento, ni la gestión de las actividades llevadas a cabo por parte de la Autoridad de Seguridad de la Aviación, tendientes a controlar o mitigar la ocurrencia de los mismos.</t>
  </si>
  <si>
    <t>Nota: De acuerdo a lo manifestado por la Dirección Servicios Aeroportuarios al realizar la entrega de este indicador a la SSOAC, este indicador no se ha medido y se solicitó a la Oficina Asesora de Planeación la eliminación de este indicador. ( Se adjuntan correos)</t>
  </si>
  <si>
    <t xml:space="preserve">CPT= 34 Normas armonizadas / 39 Normas LAR x 100
CPT= 87,18%
</t>
  </si>
  <si>
    <t>A diciembre 31 de 2018 El avance de las metas del PNA  por cada una de las Direcciones Asi: DSNA 60% correponde a las actividades a realizar en los ASBUS Modulo 0(2014-2018)  DIA:83.79% ,DSA 16.5</t>
  </si>
  <si>
    <t>16.1 Soluciones informáticas funcionabilidad: Sumatoria de los promedios por solución Informática /  Total de Soluciones Informáticas en producción. * 100 86%
16.2 Usabilidad de las Soluciones y Servicios: Sumatoria de los promedios por Solución o Servicio / Total de Soluciones y Servicios en producción. * 100 65%
16.3 Disponibilidad de Soluciones Informáticas y Servicios: Promedio de indisponibilidad por solución(Horas totales periodo evaluado - Horas de Indisponibilidad) 98%
16.4 Cobertura de Soluciones Informáticas: Cantidad de procedimientos automatizados y en funcionamiento / Cantidad total programada de procedimientos prioritarios a automatizar *100 75%
16. Cumplimiento del Plan Estratégico Tecnología de la Información (PETI) en términos de funcionabilidad, usabilidad, disponibilidad y cobertura 81%
Según la ponderación realizada por parte de la Dirección Informática de todas las variables que conforman este indicador, se informa que el porcentaje de avance de este indicador corresponde al 81,01% en el cumplimiento de la Planeación Estratégica de Tecnología de la Información.</t>
  </si>
  <si>
    <t>Para el IV trimestre del año 2018 se realizó la encuesta para medir los niveles de satisfacción del servicio prestado por el Grupo de Atención al Ciudadano, la cual fue realizada de manera presencial en el punto de atención de la entidad.   Se formularon 5 preguntas obteniendo los siguientes resultados
Preguntas	% de satisfac+N19	
Pregunta 5: ¿La entidad cumplió con los acuerdos, tiempos o compromisos establecidos?
Si 	86%	Podemos evidenciar que más del 50% de los encuestados considera que la entidad ha cumplido con los acuerdos, tiempos o compromisos establecidos. 
% de resultados de la Encuesta:  
http://www.aerocivil.gov.co/atencion/participacion/informes</t>
  </si>
  <si>
    <r>
      <rPr>
        <sz val="8"/>
        <color theme="1"/>
        <rFont val="Calibri"/>
        <family val="2"/>
        <scheme val="minor"/>
      </rPr>
      <t xml:space="preserve">Para el IV trimestre del año 2018 se realizó la encuesta para medir los niveles de satisfacción del servicio prestado por el Grupo de Atención al Ciudadano, la cual fue realizada de manera presencial en el punto de atención de la entidad.   Se formularon 5 preguntas obteniendo los siguientes resultados
Preguntas	% de satisfacción	Análisis 
</t>
    </r>
    <r>
      <rPr>
        <b/>
        <sz val="8"/>
        <color theme="1"/>
        <rFont val="Calibri"/>
        <family val="2"/>
        <scheme val="minor"/>
      </rPr>
      <t>Pregunta 1: Califique los siguientes aspectos del punto de atenció</t>
    </r>
    <r>
      <rPr>
        <sz val="8"/>
        <color theme="1"/>
        <rFont val="Calibri"/>
        <family val="2"/>
        <scheme val="minor"/>
      </rPr>
      <t xml:space="preserve">n
Señalización 	66%	
Aspecto de instalación	71%	
</t>
    </r>
    <r>
      <rPr>
        <sz val="11"/>
        <color theme="1"/>
        <rFont val="Calibri"/>
        <family val="2"/>
        <scheme val="minor"/>
      </rPr>
      <t>S</t>
    </r>
    <r>
      <rPr>
        <sz val="8"/>
        <color theme="1"/>
        <rFont val="Calibri"/>
        <family val="2"/>
        <scheme val="minor"/>
      </rPr>
      <t xml:space="preserve">uficiencia de ventanillas/ módulos	66%	
Análisis Podemos evidenciar que, según la opinión de los ciudadanos encuestados, para cada atributo la calificación con más peso en cada uno de ellos es 5 (Calificación excelente), con una participación mayor al 50%, lo que nos lleva a concluir que en general los ciudadanos se encuentran a gusto con el punto de atención al ciudadano. 
</t>
    </r>
    <r>
      <rPr>
        <b/>
        <sz val="8"/>
        <color theme="1"/>
        <rFont val="Calibri"/>
        <family val="2"/>
        <scheme val="minor"/>
      </rPr>
      <t>Pregunta 2: Califique los siguientes aspectos del servidor público que lo atendió</t>
    </r>
    <r>
      <rPr>
        <sz val="8"/>
        <color theme="1"/>
        <rFont val="Calibri"/>
        <family val="2"/>
        <scheme val="minor"/>
      </rPr>
      <t xml:space="preserve">
Presentación personal 	91%	
Amabilidad	82%	
Conocimiento del tema	86%	
Actitud de servicio 	81%	
Lenguaje claro y sencillo	86%	
Análisis Los ciudadanos tienen una percepción positiva de los servidores públicos que los atendieron, teniendo en cuenta que todos los aspectos relacionados tuvieron una participación mayor al 50% en la calificación número 5 (excelente).  Los encuestados calificaron presentación personal con un 91%, amabilidad 82%, conocimiento del tema 86%, actitud de servicio 81% y lenguaje claro y sencillo 86%, logrando una alta participación. 
</t>
    </r>
    <r>
      <rPr>
        <b/>
        <sz val="8"/>
        <color theme="1"/>
        <rFont val="Calibri"/>
        <family val="2"/>
        <scheme val="minor"/>
      </rPr>
      <t>Pregunta 3: Califique los siguientes aspectos relacionados con el servicio recibido</t>
    </r>
    <r>
      <rPr>
        <sz val="8"/>
        <color theme="1"/>
        <rFont val="Calibri"/>
        <family val="2"/>
        <scheme val="minor"/>
      </rPr>
      <t xml:space="preserve">
Rapidez en la atención   	74%	 
Sencillez de los procesos	74%	
Claridad de los requisitos	74%	
Respeto por el turno de atención	86%	
Conveniencia de horarios de atención	78%	
Análisis Del total de los encuestados (125 ciudadanos), el 74% considera excelente la rapidez en la atención, en la sencillez de los procesos y en la claridad de los requisitos. Por su parte, el respeto por el turno de atención tuvo un 86% y la conveniencia en los horarios de atención obtuvo una participación de 78%, en la calificación numero 5 (excelente). 
</t>
    </r>
    <r>
      <rPr>
        <b/>
        <sz val="8"/>
        <color theme="1"/>
        <rFont val="Calibri"/>
        <family val="2"/>
        <scheme val="minor"/>
      </rPr>
      <t>Pregunta 4: En general el servicio recibido el día de ho</t>
    </r>
    <r>
      <rPr>
        <sz val="8"/>
        <color theme="1"/>
        <rFont val="Calibri"/>
        <family val="2"/>
        <scheme val="minor"/>
      </rPr>
      <t xml:space="preserve">y
Cumplió sus expectativas	57%
Respecto a la expectativa de los ciudadanos frente al servicio recibido en el punto de atención, observamos que el 57% de los encuestados considera que el servicio cumplió sus expectativas, mientras que un 43% de estos indica que el servicio superó sus expectativas. Se evidencia que en general los ciudadanos están satisfechos con la calidad del servicio, teniendo en cuenta que ninguna persona encuestada indicó que el servicio no cumplía sus expectativas. 	
</t>
    </r>
    <r>
      <rPr>
        <b/>
        <sz val="8"/>
        <color theme="1"/>
        <rFont val="Calibri"/>
        <family val="2"/>
        <scheme val="minor"/>
      </rPr>
      <t>Pregunta 5: ¿La entidad cumplió con los acuerdos, tiempos o compromisos establecidos?</t>
    </r>
    <r>
      <rPr>
        <sz val="8"/>
        <color theme="1"/>
        <rFont val="Calibri"/>
        <family val="2"/>
        <scheme val="minor"/>
      </rPr>
      <t xml:space="preserve">
Si 	86%
Análisis Podemos evidenciar que más del 50% de los encuestados considera que la entidad ha cumplido con los acuerdos, tiempos o compromisos establecidos. 	
% de resultados de la Encuesta:  
http://www.aerocivil.gov.co/atencion/participacion/informes</t>
    </r>
  </si>
  <si>
    <t>Es importante continuar con el seguimiento a las QR, especialmente en ser más efectivos en las respuestas frente a los días en los que se deben brindar dichas respuestas a los ciudadanos. Adicionalmente es importante precisar que se debe  reiterar que  el  canal de respuesta es  a través del ADI, de no ser así no se puede realizar un control efectivo . J:\3006-Atencion al Ciudadano\2018\250 Informes\De Gestión  (5( QR no atendidas)/1,66 (promedio de QR diarias es el total de QR recibidas sobre días hábiles del periodo)=30 DIAS</t>
  </si>
  <si>
    <t>EJECUCIÓN ADICIEMBRE</t>
  </si>
  <si>
    <t>RESERVA CONSTITUIDA 
(A DICIEMBRE 2018)</t>
  </si>
  <si>
    <r>
      <t>Aeropuertos Internacionales Certificados (Certificados Cartagena, Cali, Pereira Bucaramanga y Cúcuta, pendiente actualizar en el sistema) En proceso Barranquilla, .</t>
    </r>
    <r>
      <rPr>
        <sz val="11"/>
        <color rgb="FF000000"/>
        <rFont val="Calibri"/>
        <family val="2"/>
        <scheme val="minor"/>
      </rPr>
      <t xml:space="preserve"> </t>
    </r>
  </si>
  <si>
    <t xml:space="preserve">  EJECUCIÓN CUARTO TRIMESTRE</t>
  </si>
  <si>
    <t>% A DICIEMBRE (SOLO 2018)</t>
  </si>
  <si>
    <t>REPOSICION Y MANTENIMIENTO PARQUE AUTOMOTOR PARA LA OPERACION DE LA INFRAESTRUCTURA AERONAUTICA Y AEROPORTUARIA</t>
  </si>
  <si>
    <t>METAS  AJUSTADAS
A DICIEMBRE 2018</t>
  </si>
  <si>
    <t>METAS  AJUSTADAS 
A DICIEMBRE 2018</t>
  </si>
  <si>
    <t>Aeropuertos intervenidos con obras de construcción (torres de control, terminales, pistas, plataformas, calles de rodaje, cuartel de bomberos, cerramientos) y/o mantenimiento de infraestructura aeroportuaria *</t>
  </si>
  <si>
    <t>*NOTA:  La vigencia 2018 refleja un avance del 50% en razón a que en la vigencia 2016 se habían adelantado aeropuertos intervenidos por lo cual el acumulado refleja el 100%  correspondiente a 48 aeropuertos intervenidos</t>
  </si>
  <si>
    <t xml:space="preserve">A diciembre 31 de 2018 
# de pasajeros movilizados:	37.807.270 pasajeros  
# de toneladas movilizadas:	842.072 toneladas 
</t>
  </si>
  <si>
    <t>Adjuntan relación de trámites de los cuales 5 evidencian disminución de tiempos en el tramite correspondiente.</t>
  </si>
  <si>
    <t xml:space="preserve">82,6%
</t>
  </si>
  <si>
    <t xml:space="preserve">
78,5%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</si>
</sst>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 #,##0_-;_-* &quot;-&quot;??_-;_-@_-"/>
    <numFmt numFmtId="165" formatCode="0.0%"/>
    <numFmt numFmtId="167" formatCode="0.00000000"/>
    <numFmt numFmtId="170" formatCode="0.0000"/>
    <numFmt numFmtId="172" formatCode="0.000000"/>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b/>
      <sz val="10"/>
      <color theme="5"/>
      <name val="Calibri Light"/>
      <family val="2"/>
      <scheme val="major"/>
    </font>
    <font>
      <b/>
      <sz val="8"/>
      <color theme="0"/>
      <name val="Calibri"/>
      <family val="2"/>
      <scheme val="minor"/>
    </font>
    <font>
      <sz val="9"/>
      <color theme="3"/>
      <name val="Calibri"/>
      <family val="2"/>
      <scheme val="minor"/>
    </font>
    <font>
      <sz val="8"/>
      <color theme="1"/>
      <name val="Calibri"/>
      <family val="2"/>
      <scheme val="minor"/>
    </font>
    <font>
      <sz val="8"/>
      <name val="Calibri"/>
      <family val="2"/>
      <scheme val="minor"/>
    </font>
    <font>
      <b/>
      <sz val="8"/>
      <name val="Calibri"/>
      <family val="2"/>
      <scheme val="minor"/>
    </font>
    <font>
      <b/>
      <sz val="8"/>
      <color theme="1"/>
      <name val="Calibri"/>
      <family val="2"/>
      <scheme val="minor"/>
    </font>
    <font>
      <sz val="11"/>
      <color rgb="FFFF0000"/>
      <name val="Calibri"/>
      <family val="2"/>
      <scheme val="minor"/>
    </font>
    <font>
      <b/>
      <i/>
      <sz val="11"/>
      <color theme="1"/>
      <name val="Calibri"/>
      <family val="2"/>
      <scheme val="minor"/>
    </font>
    <font>
      <sz val="10"/>
      <color theme="1"/>
      <name val="Calibri"/>
      <family val="2"/>
      <scheme val="minor"/>
    </font>
    <font>
      <strike/>
      <sz val="11"/>
      <color theme="1"/>
      <name val="Calibri"/>
      <family val="2"/>
      <scheme val="minor"/>
    </font>
    <font>
      <sz val="9"/>
      <color indexed="81"/>
      <name val="Tahoma"/>
      <family val="2"/>
    </font>
    <font>
      <sz val="9"/>
      <color rgb="FF000000"/>
      <name val="Calibri"/>
      <family val="2"/>
      <scheme val="minor"/>
    </font>
    <font>
      <b/>
      <sz val="9"/>
      <color theme="1"/>
      <name val="Calibri"/>
      <family val="2"/>
      <scheme val="minor"/>
    </font>
    <font>
      <sz val="9"/>
      <color theme="1"/>
      <name val="Calibri"/>
      <family val="2"/>
      <scheme val="minor"/>
    </font>
    <font>
      <b/>
      <sz val="9"/>
      <color rgb="FF000000"/>
      <name val="Calibri"/>
      <family val="2"/>
      <scheme val="minor"/>
    </font>
    <font>
      <sz val="9"/>
      <color theme="0"/>
      <name val="Calibri"/>
      <family val="2"/>
      <scheme val="minor"/>
    </font>
    <font>
      <sz val="10"/>
      <color rgb="FF1E1C11"/>
      <name val="Calibri"/>
      <family val="2"/>
      <scheme val="minor"/>
    </font>
    <font>
      <sz val="11"/>
      <color rgb="FF000000"/>
      <name val="Calibri"/>
      <family val="2"/>
      <scheme val="minor"/>
    </font>
    <font>
      <sz val="8"/>
      <color theme="0"/>
      <name val="Calibri"/>
      <family val="2"/>
      <scheme val="minor"/>
    </font>
    <font>
      <b/>
      <sz val="9"/>
      <color indexed="81"/>
      <name val="Tahoma"/>
      <family val="2"/>
    </font>
  </fonts>
  <fills count="22">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theme="7" tint="0.79998168889431442"/>
        <bgColor indexed="65"/>
      </patternFill>
    </fill>
    <fill>
      <patternFill patternType="solid">
        <fgColor theme="8" tint="0.39997558519241921"/>
        <bgColor indexed="65"/>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9BC2E6"/>
        <bgColor indexed="64"/>
      </patternFill>
    </fill>
    <fill>
      <patternFill patternType="solid">
        <fgColor rgb="FFDDEBF7"/>
        <bgColor indexed="64"/>
      </patternFill>
    </fill>
    <fill>
      <patternFill patternType="solid">
        <fgColor theme="0" tint="-0.14999847407452621"/>
        <bgColor indexed="64"/>
      </patternFill>
    </fill>
    <fill>
      <patternFill patternType="solid">
        <fgColor rgb="FFFFFFCC"/>
      </patternFill>
    </fill>
    <fill>
      <patternFill patternType="solid">
        <fgColor rgb="FF8EAADB"/>
        <bgColor indexed="64"/>
      </patternFill>
    </fill>
    <fill>
      <patternFill patternType="solid">
        <fgColor theme="8"/>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bgColor indexed="64"/>
      </patternFill>
    </fill>
    <fill>
      <patternFill patternType="solid">
        <fgColor theme="5" tint="0.39997558519241921"/>
        <bgColor indexed="64"/>
      </patternFill>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style="thin">
        <color auto="1"/>
      </bottom>
      <diagonal/>
    </border>
    <border>
      <left style="thin">
        <color auto="1"/>
      </left>
      <right style="thin">
        <color auto="1"/>
      </right>
      <top style="hair">
        <color auto="1"/>
      </top>
      <bottom style="hair">
        <color auto="1"/>
      </bottom>
      <diagonal/>
    </border>
    <border>
      <left/>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double">
        <color indexed="64"/>
      </left>
      <right style="thin">
        <color indexed="64"/>
      </right>
      <top/>
      <bottom/>
      <diagonal/>
    </border>
    <border>
      <left style="thin">
        <color indexed="64"/>
      </left>
      <right style="medium">
        <color indexed="64"/>
      </right>
      <top/>
      <bottom/>
      <diagonal/>
    </border>
    <border>
      <left style="thin">
        <color auto="1"/>
      </left>
      <right/>
      <top/>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2"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6" fillId="0" borderId="0" applyNumberFormat="0" applyFill="0" applyBorder="0" applyProtection="0">
      <alignment horizontal="left" vertical="center" indent="1"/>
    </xf>
    <xf numFmtId="0" fontId="8" fillId="7" borderId="0" applyNumberFormat="0" applyFont="0" applyBorder="0" applyAlignment="0" applyProtection="0">
      <alignment vertical="center"/>
    </xf>
    <xf numFmtId="0" fontId="1" fillId="0" borderId="0"/>
    <xf numFmtId="43" fontId="1" fillId="0" borderId="0" applyFont="0" applyFill="0" applyBorder="0" applyAlignment="0" applyProtection="0"/>
    <xf numFmtId="0" fontId="1" fillId="3" borderId="0" applyNumberFormat="0" applyBorder="0" applyAlignment="0" applyProtection="0"/>
    <xf numFmtId="0" fontId="1" fillId="13" borderId="18" applyNumberFormat="0" applyFont="0" applyAlignment="0" applyProtection="0"/>
    <xf numFmtId="0" fontId="1" fillId="0" borderId="0"/>
    <xf numFmtId="0" fontId="1" fillId="3" borderId="0" applyNumberFormat="0" applyBorder="0" applyAlignment="0" applyProtection="0"/>
    <xf numFmtId="0" fontId="3" fillId="15" borderId="0" applyNumberFormat="0" applyBorder="0" applyAlignment="0" applyProtection="0"/>
    <xf numFmtId="0" fontId="1" fillId="0" borderId="0"/>
  </cellStyleXfs>
  <cellXfs count="213">
    <xf numFmtId="0" fontId="0" fillId="0" borderId="0" xfId="0"/>
    <xf numFmtId="0" fontId="4" fillId="0" borderId="0" xfId="0" applyFont="1" applyFill="1" applyBorder="1" applyAlignment="1">
      <alignment vertical="center"/>
    </xf>
    <xf numFmtId="164" fontId="7" fillId="6" borderId="3" xfId="1" applyNumberFormat="1" applyFont="1" applyFill="1" applyBorder="1" applyAlignment="1">
      <alignment horizontal="center" vertical="center" wrapText="1"/>
    </xf>
    <xf numFmtId="165" fontId="7" fillId="6" borderId="3" xfId="2" applyNumberFormat="1" applyFont="1" applyFill="1" applyBorder="1" applyAlignment="1">
      <alignment horizontal="center" vertical="center" wrapText="1"/>
    </xf>
    <xf numFmtId="0" fontId="10" fillId="0" borderId="0" xfId="0" applyFont="1" applyFill="1" applyBorder="1" applyAlignment="1">
      <alignment vertical="center"/>
    </xf>
    <xf numFmtId="164" fontId="11" fillId="8" borderId="1" xfId="1" applyNumberFormat="1" applyFont="1" applyFill="1" applyBorder="1" applyAlignment="1">
      <alignment horizontal="right" vertical="center"/>
    </xf>
    <xf numFmtId="165" fontId="11" fillId="8" borderId="1" xfId="2" applyNumberFormat="1" applyFont="1" applyFill="1" applyBorder="1" applyAlignment="1">
      <alignment horizontal="center" vertical="center" wrapText="1"/>
    </xf>
    <xf numFmtId="165" fontId="11" fillId="8" borderId="5" xfId="2" applyNumberFormat="1" applyFont="1" applyFill="1" applyBorder="1" applyAlignment="1">
      <alignment horizontal="center" vertical="center" wrapText="1"/>
    </xf>
    <xf numFmtId="164" fontId="11" fillId="8" borderId="6" xfId="1" applyNumberFormat="1" applyFont="1" applyFill="1" applyBorder="1" applyAlignment="1">
      <alignment horizontal="right" vertical="center"/>
    </xf>
    <xf numFmtId="0" fontId="9" fillId="0" borderId="0" xfId="0" applyFont="1" applyAlignment="1">
      <alignment vertical="center"/>
    </xf>
    <xf numFmtId="165" fontId="9" fillId="0" borderId="0" xfId="2" applyNumberFormat="1" applyFont="1" applyAlignment="1">
      <alignment horizontal="center" vertical="center"/>
    </xf>
    <xf numFmtId="164" fontId="9" fillId="0" borderId="0" xfId="1" applyNumberFormat="1" applyFont="1" applyAlignment="1">
      <alignment vertical="center"/>
    </xf>
    <xf numFmtId="165" fontId="11" fillId="8" borderId="10" xfId="2" applyNumberFormat="1" applyFont="1" applyFill="1" applyBorder="1" applyAlignment="1">
      <alignment horizontal="center" vertical="center" wrapText="1"/>
    </xf>
    <xf numFmtId="165" fontId="11" fillId="8" borderId="11" xfId="2" applyNumberFormat="1" applyFont="1" applyFill="1" applyBorder="1" applyAlignment="1">
      <alignment horizontal="center" vertical="center" wrapText="1"/>
    </xf>
    <xf numFmtId="0" fontId="4" fillId="0" borderId="0" xfId="0" applyFont="1" applyFill="1" applyBorder="1"/>
    <xf numFmtId="165" fontId="11" fillId="8" borderId="2" xfId="2" applyNumberFormat="1" applyFont="1" applyFill="1" applyBorder="1" applyAlignment="1">
      <alignment horizontal="center" vertical="center" wrapText="1"/>
    </xf>
    <xf numFmtId="164" fontId="11" fillId="8" borderId="2" xfId="1" applyNumberFormat="1" applyFont="1" applyFill="1" applyBorder="1" applyAlignment="1">
      <alignment horizontal="right" vertical="center"/>
    </xf>
    <xf numFmtId="164" fontId="10" fillId="9" borderId="2" xfId="1" applyNumberFormat="1" applyFont="1" applyFill="1" applyBorder="1" applyAlignment="1">
      <alignment horizontal="right" vertical="center"/>
    </xf>
    <xf numFmtId="165" fontId="10" fillId="9" borderId="2" xfId="2" applyNumberFormat="1" applyFont="1" applyFill="1" applyBorder="1" applyAlignment="1">
      <alignment horizontal="center" vertical="center" wrapText="1"/>
    </xf>
    <xf numFmtId="164" fontId="9" fillId="0" borderId="2" xfId="1" applyNumberFormat="1" applyFont="1" applyBorder="1" applyAlignment="1">
      <alignment vertical="center"/>
    </xf>
    <xf numFmtId="165" fontId="9" fillId="0" borderId="2" xfId="2" applyNumberFormat="1" applyFont="1" applyBorder="1" applyAlignment="1">
      <alignment horizontal="center" vertical="center"/>
    </xf>
    <xf numFmtId="165" fontId="11" fillId="8" borderId="8" xfId="2" applyNumberFormat="1" applyFont="1" applyFill="1" applyBorder="1" applyAlignment="1">
      <alignment horizontal="center" vertical="center" wrapText="1"/>
    </xf>
    <xf numFmtId="165" fontId="9" fillId="0" borderId="8" xfId="2" applyNumberFormat="1" applyFont="1" applyBorder="1" applyAlignment="1">
      <alignment horizontal="center" vertical="center"/>
    </xf>
    <xf numFmtId="164" fontId="11" fillId="8" borderId="10" xfId="1" applyNumberFormat="1" applyFont="1" applyFill="1" applyBorder="1" applyAlignment="1">
      <alignment horizontal="right" vertical="center"/>
    </xf>
    <xf numFmtId="164" fontId="7" fillId="6" borderId="15" xfId="1" applyNumberFormat="1" applyFont="1" applyFill="1" applyBorder="1" applyAlignment="1">
      <alignment horizontal="center" vertical="center" wrapText="1"/>
    </xf>
    <xf numFmtId="164" fontId="9" fillId="0" borderId="7" xfId="1" applyNumberFormat="1" applyFont="1" applyBorder="1" applyAlignment="1">
      <alignment vertical="center"/>
    </xf>
    <xf numFmtId="164" fontId="11" fillId="8" borderId="7" xfId="1" applyNumberFormat="1" applyFont="1" applyFill="1" applyBorder="1" applyAlignment="1">
      <alignment horizontal="right" vertical="center"/>
    </xf>
    <xf numFmtId="164" fontId="11" fillId="8" borderId="4" xfId="1" applyNumberFormat="1" applyFont="1" applyFill="1" applyBorder="1" applyAlignment="1">
      <alignment horizontal="right" vertical="center"/>
    </xf>
    <xf numFmtId="164" fontId="10" fillId="9" borderId="14" xfId="1" applyNumberFormat="1" applyFont="1" applyFill="1" applyBorder="1" applyAlignment="1">
      <alignment horizontal="right" vertical="center"/>
    </xf>
    <xf numFmtId="165" fontId="10" fillId="9" borderId="8" xfId="2" applyNumberFormat="1" applyFont="1" applyFill="1" applyBorder="1" applyAlignment="1">
      <alignment horizontal="center" vertical="center" wrapText="1"/>
    </xf>
    <xf numFmtId="164" fontId="9" fillId="0" borderId="14" xfId="1" applyNumberFormat="1" applyFont="1" applyBorder="1" applyAlignment="1">
      <alignment vertical="center"/>
    </xf>
    <xf numFmtId="164" fontId="11" fillId="8" borderId="14" xfId="1" applyNumberFormat="1" applyFont="1" applyFill="1" applyBorder="1" applyAlignment="1">
      <alignment horizontal="right" vertical="center"/>
    </xf>
    <xf numFmtId="164" fontId="11" fillId="8" borderId="13" xfId="1" applyNumberFormat="1" applyFont="1" applyFill="1" applyBorder="1" applyAlignment="1">
      <alignment horizontal="right" vertical="center"/>
    </xf>
    <xf numFmtId="0" fontId="5" fillId="0" borderId="0" xfId="0" applyFont="1" applyFill="1" applyBorder="1"/>
    <xf numFmtId="164" fontId="11" fillId="8" borderId="9" xfId="1" applyNumberFormat="1" applyFont="1" applyFill="1" applyBorder="1" applyAlignment="1">
      <alignment horizontal="right" vertical="center"/>
    </xf>
    <xf numFmtId="0" fontId="11" fillId="8" borderId="16" xfId="3" applyFont="1" applyFill="1" applyBorder="1" applyAlignment="1">
      <alignment horizontal="left" vertical="center" wrapText="1"/>
    </xf>
    <xf numFmtId="0" fontId="9" fillId="0" borderId="17" xfId="0" applyFont="1" applyBorder="1" applyAlignment="1">
      <alignment vertical="center" wrapText="1"/>
    </xf>
    <xf numFmtId="0" fontId="11" fillId="8" borderId="17" xfId="3" applyFont="1" applyFill="1" applyBorder="1" applyAlignment="1">
      <alignment horizontal="left" vertical="center" wrapText="1"/>
    </xf>
    <xf numFmtId="0" fontId="2" fillId="0" borderId="0" xfId="8" applyFont="1" applyAlignment="1">
      <alignment vertical="center"/>
    </xf>
    <xf numFmtId="0" fontId="10" fillId="0" borderId="14" xfId="10" applyFont="1" applyFill="1" applyBorder="1" applyAlignment="1">
      <alignment vertical="center" wrapText="1"/>
    </xf>
    <xf numFmtId="164" fontId="9" fillId="0" borderId="0" xfId="1" applyNumberFormat="1" applyFont="1" applyAlignment="1">
      <alignment horizontal="right" vertical="center"/>
    </xf>
    <xf numFmtId="0" fontId="9" fillId="0" borderId="0" xfId="8" applyFont="1" applyAlignment="1">
      <alignment vertical="center"/>
    </xf>
    <xf numFmtId="0" fontId="9" fillId="0" borderId="0" xfId="8" applyFont="1" applyAlignment="1">
      <alignment horizontal="center" vertical="center"/>
    </xf>
    <xf numFmtId="43" fontId="7" fillId="6" borderId="3" xfId="9" applyFont="1" applyFill="1" applyBorder="1" applyAlignment="1">
      <alignment horizontal="center" vertical="center" wrapText="1"/>
    </xf>
    <xf numFmtId="164" fontId="10" fillId="5" borderId="1" xfId="1" applyNumberFormat="1" applyFont="1" applyFill="1" applyBorder="1" applyAlignment="1">
      <alignment horizontal="right" vertical="center" wrapText="1" readingOrder="1"/>
    </xf>
    <xf numFmtId="164" fontId="10" fillId="5" borderId="2" xfId="1" applyNumberFormat="1" applyFont="1" applyFill="1" applyBorder="1" applyAlignment="1">
      <alignment horizontal="right" vertical="center" wrapText="1"/>
    </xf>
    <xf numFmtId="164" fontId="10" fillId="5" borderId="2" xfId="1" applyNumberFormat="1" applyFont="1" applyFill="1" applyBorder="1" applyAlignment="1">
      <alignment horizontal="right" vertical="center" wrapText="1" readingOrder="1"/>
    </xf>
    <xf numFmtId="164" fontId="12" fillId="12" borderId="2" xfId="1" applyNumberFormat="1" applyFont="1" applyFill="1" applyBorder="1" applyAlignment="1">
      <alignment horizontal="right" vertical="center" wrapText="1" readingOrder="1"/>
    </xf>
    <xf numFmtId="164" fontId="10" fillId="0" borderId="2" xfId="1" applyNumberFormat="1" applyFont="1" applyFill="1" applyBorder="1" applyAlignment="1">
      <alignment horizontal="right" vertical="center"/>
    </xf>
    <xf numFmtId="164" fontId="10" fillId="0" borderId="2" xfId="1" applyNumberFormat="1" applyFont="1" applyFill="1" applyBorder="1" applyAlignment="1">
      <alignment horizontal="center" vertical="center"/>
    </xf>
    <xf numFmtId="0" fontId="10" fillId="5" borderId="14" xfId="5" applyNumberFormat="1" applyFont="1" applyBorder="1" applyAlignment="1">
      <alignment horizontal="left" vertical="center" wrapText="1" readingOrder="1"/>
    </xf>
    <xf numFmtId="165" fontId="10" fillId="5" borderId="8" xfId="2" applyNumberFormat="1" applyFont="1" applyFill="1" applyBorder="1" applyAlignment="1">
      <alignment horizontal="center" vertical="center" wrapText="1" readingOrder="1"/>
    </xf>
    <xf numFmtId="165" fontId="10" fillId="5" borderId="8" xfId="2" applyNumberFormat="1" applyFont="1" applyFill="1" applyBorder="1" applyAlignment="1">
      <alignment horizontal="center" vertical="center" wrapText="1"/>
    </xf>
    <xf numFmtId="0" fontId="12" fillId="12" borderId="14" xfId="4" applyNumberFormat="1" applyFont="1" applyFill="1" applyBorder="1" applyAlignment="1">
      <alignment horizontal="left" vertical="center" wrapText="1" readingOrder="1"/>
    </xf>
    <xf numFmtId="165" fontId="12" fillId="12" borderId="8" xfId="2" applyNumberFormat="1" applyFont="1" applyFill="1" applyBorder="1" applyAlignment="1">
      <alignment horizontal="center" vertical="center" wrapText="1" readingOrder="1"/>
    </xf>
    <xf numFmtId="0" fontId="10" fillId="5" borderId="4" xfId="5" applyNumberFormat="1" applyFont="1" applyBorder="1" applyAlignment="1">
      <alignment horizontal="left" vertical="center" wrapText="1" readingOrder="1"/>
    </xf>
    <xf numFmtId="165" fontId="10" fillId="5" borderId="5" xfId="2" applyNumberFormat="1" applyFont="1" applyFill="1" applyBorder="1" applyAlignment="1">
      <alignment horizontal="center" vertical="center" wrapText="1" readingOrder="1"/>
    </xf>
    <xf numFmtId="0" fontId="11" fillId="5" borderId="14" xfId="5" applyNumberFormat="1" applyFont="1" applyBorder="1" applyAlignment="1">
      <alignment horizontal="left" vertical="center" wrapText="1" readingOrder="1"/>
    </xf>
    <xf numFmtId="164" fontId="11" fillId="5" borderId="2" xfId="1" applyNumberFormat="1" applyFont="1" applyFill="1" applyBorder="1" applyAlignment="1">
      <alignment horizontal="right" vertical="center" wrapText="1" readingOrder="1"/>
    </xf>
    <xf numFmtId="165" fontId="11" fillId="5" borderId="8" xfId="2" applyNumberFormat="1" applyFont="1" applyFill="1" applyBorder="1" applyAlignment="1">
      <alignment horizontal="center" vertical="center" wrapText="1" readingOrder="1"/>
    </xf>
    <xf numFmtId="0" fontId="9" fillId="0" borderId="0" xfId="0" applyFont="1" applyAlignment="1">
      <alignment vertical="center" wrapText="1"/>
    </xf>
    <xf numFmtId="0" fontId="5" fillId="0" borderId="0" xfId="0" applyFont="1" applyFill="1" applyBorder="1" applyAlignment="1">
      <alignment wrapText="1"/>
    </xf>
    <xf numFmtId="0" fontId="12" fillId="10" borderId="12" xfId="0" applyFont="1" applyFill="1" applyBorder="1" applyAlignment="1">
      <alignment vertical="center" wrapText="1"/>
    </xf>
    <xf numFmtId="0" fontId="0" fillId="0" borderId="0" xfId="0" applyFont="1" applyAlignment="1">
      <alignment vertical="center"/>
    </xf>
    <xf numFmtId="0" fontId="0" fillId="0" borderId="0" xfId="0" applyFont="1" applyAlignment="1">
      <alignment horizontal="center" wrapText="1"/>
    </xf>
    <xf numFmtId="0" fontId="0" fillId="0" borderId="2" xfId="0" applyFont="1" applyBorder="1" applyAlignment="1">
      <alignment horizontal="center" vertical="center"/>
    </xf>
    <xf numFmtId="0" fontId="0" fillId="0" borderId="2" xfId="0" applyFont="1" applyBorder="1" applyAlignment="1">
      <alignment vertical="center" wrapText="1"/>
    </xf>
    <xf numFmtId="0" fontId="0" fillId="0" borderId="2" xfId="0" applyFont="1" applyBorder="1" applyAlignment="1">
      <alignment horizontal="center" vertical="center" wrapText="1"/>
    </xf>
    <xf numFmtId="10" fontId="0" fillId="0" borderId="2" xfId="0" applyNumberFormat="1" applyFont="1" applyBorder="1" applyAlignment="1">
      <alignment horizontal="center" vertical="center"/>
    </xf>
    <xf numFmtId="0" fontId="15" fillId="0" borderId="2" xfId="12" applyFont="1" applyBorder="1" applyAlignment="1">
      <alignment vertical="center" wrapText="1"/>
    </xf>
    <xf numFmtId="9" fontId="0" fillId="0" borderId="2" xfId="2" applyFont="1" applyFill="1" applyBorder="1" applyAlignment="1">
      <alignment horizontal="center" vertical="center"/>
    </xf>
    <xf numFmtId="0" fontId="0" fillId="0" borderId="2" xfId="11" applyFont="1" applyFill="1" applyBorder="1" applyAlignment="1">
      <alignment horizontal="center" vertical="center"/>
    </xf>
    <xf numFmtId="0" fontId="0" fillId="0" borderId="2" xfId="0" applyFont="1" applyBorder="1" applyAlignment="1">
      <alignment vertical="center"/>
    </xf>
    <xf numFmtId="4" fontId="0" fillId="0" borderId="2" xfId="2" applyNumberFormat="1" applyFont="1" applyFill="1" applyBorder="1" applyAlignment="1">
      <alignment horizontal="center" vertical="center"/>
    </xf>
    <xf numFmtId="0" fontId="0" fillId="0" borderId="2" xfId="0" applyFont="1" applyFill="1" applyBorder="1" applyAlignment="1">
      <alignment vertical="center" wrapText="1"/>
    </xf>
    <xf numFmtId="9" fontId="0" fillId="0" borderId="2" xfId="0" applyNumberFormat="1" applyFont="1" applyBorder="1" applyAlignment="1">
      <alignment horizontal="center" vertical="center"/>
    </xf>
    <xf numFmtId="0" fontId="0" fillId="0" borderId="2" xfId="0" applyFont="1" applyFill="1" applyBorder="1" applyAlignment="1">
      <alignment horizontal="center" vertical="center"/>
    </xf>
    <xf numFmtId="9" fontId="0" fillId="0" borderId="2" xfId="0" applyNumberFormat="1" applyFont="1" applyFill="1" applyBorder="1" applyAlignment="1">
      <alignment horizontal="center" vertical="center"/>
    </xf>
    <xf numFmtId="0" fontId="0" fillId="0" borderId="2" xfId="12" applyFont="1" applyBorder="1" applyAlignment="1">
      <alignment vertical="center" wrapText="1"/>
    </xf>
    <xf numFmtId="0" fontId="0" fillId="0" borderId="2" xfId="0" applyFont="1" applyBorder="1" applyAlignment="1">
      <alignment horizontal="left" vertical="center" wrapText="1"/>
    </xf>
    <xf numFmtId="9" fontId="0" fillId="0" borderId="2" xfId="2" applyFont="1" applyBorder="1" applyAlignment="1">
      <alignment horizontal="center" vertical="center"/>
    </xf>
    <xf numFmtId="9" fontId="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65" fontId="0" fillId="0" borderId="2" xfId="2" applyNumberFormat="1" applyFont="1" applyBorder="1" applyAlignment="1">
      <alignment horizontal="center" vertical="center" wrapText="1"/>
    </xf>
    <xf numFmtId="165" fontId="0" fillId="0" borderId="2" xfId="2" applyNumberFormat="1" applyFont="1" applyBorder="1" applyAlignment="1">
      <alignment horizontal="center" vertical="center"/>
    </xf>
    <xf numFmtId="0" fontId="15" fillId="0" borderId="2" xfId="0" applyFont="1" applyBorder="1" applyAlignment="1">
      <alignment vertical="center" wrapText="1"/>
    </xf>
    <xf numFmtId="9" fontId="0" fillId="0" borderId="2" xfId="0" applyNumberFormat="1" applyFont="1" applyBorder="1" applyAlignment="1">
      <alignment vertical="center" wrapText="1"/>
    </xf>
    <xf numFmtId="9" fontId="13" fillId="0" borderId="2" xfId="0" applyNumberFormat="1" applyFont="1" applyBorder="1" applyAlignment="1">
      <alignment horizontal="center" vertical="center"/>
    </xf>
    <xf numFmtId="0" fontId="15" fillId="0" borderId="2" xfId="12" applyFont="1" applyBorder="1" applyAlignment="1">
      <alignment vertical="top" wrapText="1"/>
    </xf>
    <xf numFmtId="0" fontId="0" fillId="0" borderId="0" xfId="0" applyFont="1"/>
    <xf numFmtId="0" fontId="0" fillId="0" borderId="0" xfId="0" applyFont="1" applyAlignment="1">
      <alignment horizontal="center" vertical="center"/>
    </xf>
    <xf numFmtId="0" fontId="15" fillId="0" borderId="0" xfId="0" applyFont="1" applyAlignment="1">
      <alignment vertical="center"/>
    </xf>
    <xf numFmtId="0" fontId="0" fillId="0" borderId="0" xfId="0" applyFont="1" applyBorder="1"/>
    <xf numFmtId="0" fontId="0" fillId="0" borderId="0" xfId="0" applyFont="1" applyBorder="1" applyAlignment="1">
      <alignment horizontal="center" vertical="center"/>
    </xf>
    <xf numFmtId="0" fontId="15" fillId="0" borderId="0"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horizontal="center"/>
    </xf>
    <xf numFmtId="0" fontId="5" fillId="0" borderId="0" xfId="0" applyFont="1" applyFill="1" applyBorder="1" applyAlignment="1"/>
    <xf numFmtId="0" fontId="11" fillId="8" borderId="14" xfId="6" applyFont="1" applyFill="1" applyBorder="1" applyAlignment="1">
      <alignment horizontal="center" vertical="center" wrapText="1"/>
    </xf>
    <xf numFmtId="0" fontId="10" fillId="9" borderId="14" xfId="6" applyFont="1" applyFill="1" applyBorder="1" applyAlignment="1">
      <alignment horizontal="center" vertical="center" wrapText="1"/>
    </xf>
    <xf numFmtId="49" fontId="10" fillId="0" borderId="14" xfId="0" applyNumberFormat="1" applyFont="1" applyFill="1" applyBorder="1" applyAlignment="1">
      <alignment vertical="center" wrapText="1" readingOrder="1"/>
    </xf>
    <xf numFmtId="0" fontId="10" fillId="0" borderId="14" xfId="0" applyNumberFormat="1" applyFont="1" applyFill="1" applyBorder="1" applyAlignment="1">
      <alignment vertical="center" wrapText="1" readingOrder="1"/>
    </xf>
    <xf numFmtId="0" fontId="11" fillId="8" borderId="22" xfId="6" applyFont="1" applyFill="1" applyBorder="1" applyAlignment="1">
      <alignment horizontal="center" vertical="center" wrapText="1"/>
    </xf>
    <xf numFmtId="164" fontId="11" fillId="8" borderId="23" xfId="1" applyNumberFormat="1" applyFont="1" applyFill="1" applyBorder="1" applyAlignment="1">
      <alignment horizontal="right" vertical="center"/>
    </xf>
    <xf numFmtId="165" fontId="11" fillId="8" borderId="23" xfId="2" applyNumberFormat="1" applyFont="1" applyFill="1" applyBorder="1" applyAlignment="1">
      <alignment horizontal="center" vertical="center" wrapText="1"/>
    </xf>
    <xf numFmtId="165" fontId="11" fillId="8" borderId="24" xfId="2" applyNumberFormat="1" applyFont="1" applyFill="1" applyBorder="1" applyAlignment="1">
      <alignment horizontal="center" vertical="center" wrapText="1"/>
    </xf>
    <xf numFmtId="0" fontId="10" fillId="0" borderId="13" xfId="0" applyNumberFormat="1" applyFont="1" applyFill="1" applyBorder="1" applyAlignment="1">
      <alignment vertical="center" wrapText="1" readingOrder="1"/>
    </xf>
    <xf numFmtId="164" fontId="9" fillId="0" borderId="10" xfId="1" applyNumberFormat="1" applyFont="1" applyBorder="1" applyAlignment="1">
      <alignment vertical="center"/>
    </xf>
    <xf numFmtId="165" fontId="9" fillId="0" borderId="10" xfId="2" applyNumberFormat="1" applyFont="1" applyBorder="1" applyAlignment="1">
      <alignment horizontal="center" vertical="center"/>
    </xf>
    <xf numFmtId="165" fontId="9" fillId="0" borderId="11" xfId="2" applyNumberFormat="1" applyFont="1" applyBorder="1" applyAlignment="1">
      <alignment horizontal="center" vertical="center"/>
    </xf>
    <xf numFmtId="0" fontId="11" fillId="8" borderId="4" xfId="6" applyFont="1" applyFill="1" applyBorder="1" applyAlignment="1">
      <alignment horizontal="center" vertical="center" wrapText="1"/>
    </xf>
    <xf numFmtId="0" fontId="12" fillId="10" borderId="26" xfId="0" applyFont="1" applyFill="1" applyBorder="1" applyAlignment="1">
      <alignment vertical="center" wrapText="1"/>
    </xf>
    <xf numFmtId="0" fontId="9" fillId="11" borderId="19" xfId="0" applyFont="1" applyFill="1" applyBorder="1" applyAlignment="1">
      <alignment vertical="center" wrapText="1"/>
    </xf>
    <xf numFmtId="0" fontId="9" fillId="0" borderId="19" xfId="0" applyFont="1" applyBorder="1" applyAlignment="1">
      <alignment vertical="center" wrapText="1"/>
    </xf>
    <xf numFmtId="0" fontId="12" fillId="10" borderId="19" xfId="0" applyFont="1" applyFill="1" applyBorder="1" applyAlignment="1">
      <alignment vertical="center" wrapText="1"/>
    </xf>
    <xf numFmtId="0" fontId="9" fillId="0" borderId="27" xfId="0" applyFont="1" applyBorder="1" applyAlignment="1">
      <alignment vertical="center" wrapText="1"/>
    </xf>
    <xf numFmtId="0" fontId="12" fillId="10" borderId="28" xfId="0" applyFont="1" applyFill="1" applyBorder="1" applyAlignment="1">
      <alignment vertical="center" wrapText="1"/>
    </xf>
    <xf numFmtId="164" fontId="10" fillId="9" borderId="7" xfId="1" applyNumberFormat="1" applyFont="1" applyFill="1" applyBorder="1" applyAlignment="1">
      <alignment horizontal="right" vertical="center"/>
    </xf>
    <xf numFmtId="164" fontId="9" fillId="0" borderId="9" xfId="1" applyNumberFormat="1" applyFont="1" applyBorder="1" applyAlignment="1">
      <alignment vertical="center"/>
    </xf>
    <xf numFmtId="164" fontId="11" fillId="8" borderId="29" xfId="1" applyNumberFormat="1" applyFont="1" applyFill="1" applyBorder="1" applyAlignment="1">
      <alignment horizontal="right" vertical="center"/>
    </xf>
    <xf numFmtId="164" fontId="9" fillId="0" borderId="13" xfId="1" applyNumberFormat="1" applyFont="1" applyBorder="1" applyAlignment="1">
      <alignment vertical="center"/>
    </xf>
    <xf numFmtId="164" fontId="11" fillId="8" borderId="22" xfId="1" applyNumberFormat="1" applyFont="1" applyFill="1" applyBorder="1" applyAlignment="1">
      <alignment horizontal="right" vertical="center"/>
    </xf>
    <xf numFmtId="0" fontId="20" fillId="0" borderId="0" xfId="0" applyFont="1"/>
    <xf numFmtId="0" fontId="21" fillId="14" borderId="3" xfId="0" applyFont="1" applyFill="1" applyBorder="1" applyAlignment="1">
      <alignment horizontal="center" vertical="center" wrapText="1"/>
    </xf>
    <xf numFmtId="0" fontId="20" fillId="3" borderId="3" xfId="13" applyFont="1" applyBorder="1" applyAlignment="1">
      <alignment horizontal="center" vertical="center" wrapText="1"/>
    </xf>
    <xf numFmtId="9" fontId="18" fillId="0" borderId="1" xfId="0" applyNumberFormat="1" applyFont="1" applyBorder="1" applyAlignment="1">
      <alignment horizontal="center" vertical="center" wrapText="1"/>
    </xf>
    <xf numFmtId="10" fontId="18" fillId="0" borderId="5" xfId="2" applyNumberFormat="1" applyFont="1" applyBorder="1" applyAlignment="1">
      <alignment horizontal="center" vertical="center" wrapText="1"/>
    </xf>
    <xf numFmtId="0" fontId="18" fillId="14" borderId="13" xfId="0" applyFont="1" applyFill="1" applyBorder="1" applyAlignment="1">
      <alignment horizontal="justify" vertical="center" wrapText="1"/>
    </xf>
    <xf numFmtId="0" fontId="20" fillId="3" borderId="10" xfId="13" applyFont="1" applyBorder="1" applyAlignment="1">
      <alignment horizontal="justify" vertical="center" wrapText="1"/>
    </xf>
    <xf numFmtId="10" fontId="20" fillId="3" borderId="11" xfId="13" applyNumberFormat="1" applyFont="1" applyBorder="1" applyAlignment="1">
      <alignment horizontal="center" vertical="center" wrapText="1"/>
    </xf>
    <xf numFmtId="0" fontId="0" fillId="17" borderId="2" xfId="0" applyFont="1" applyFill="1" applyBorder="1" applyAlignment="1">
      <alignment horizontal="center" vertical="center" wrapText="1"/>
    </xf>
    <xf numFmtId="0" fontId="3" fillId="15" borderId="2" xfId="14" applyBorder="1" applyAlignment="1">
      <alignment horizontal="center" vertical="center" wrapText="1"/>
    </xf>
    <xf numFmtId="0" fontId="0" fillId="0" borderId="20" xfId="0" applyBorder="1" applyAlignment="1">
      <alignment vertical="top" wrapText="1"/>
    </xf>
    <xf numFmtId="0" fontId="0" fillId="0" borderId="20" xfId="0" applyBorder="1" applyAlignment="1">
      <alignment vertical="center" wrapText="1"/>
    </xf>
    <xf numFmtId="9" fontId="0" fillId="0" borderId="2" xfId="0" applyNumberFormat="1" applyFont="1" applyBorder="1" applyAlignment="1">
      <alignment horizontal="center" vertical="center" wrapText="1"/>
    </xf>
    <xf numFmtId="165" fontId="0" fillId="0" borderId="20" xfId="2" applyNumberFormat="1" applyFont="1" applyFill="1" applyBorder="1" applyAlignment="1">
      <alignment horizontal="center" vertical="center"/>
    </xf>
    <xf numFmtId="0" fontId="23" fillId="0" borderId="2" xfId="0" applyFont="1" applyBorder="1" applyAlignment="1">
      <alignment horizontal="left" vertical="center" wrapText="1" readingOrder="1"/>
    </xf>
    <xf numFmtId="10" fontId="0" fillId="16" borderId="0" xfId="0" applyNumberFormat="1" applyFont="1" applyFill="1" applyAlignment="1">
      <alignment horizontal="center" vertical="center"/>
    </xf>
    <xf numFmtId="0" fontId="23" fillId="0" borderId="0" xfId="0" applyFont="1" applyAlignment="1">
      <alignment horizontal="center" vertical="center" readingOrder="1"/>
    </xf>
    <xf numFmtId="0" fontId="13" fillId="16" borderId="0" xfId="0" applyFont="1" applyFill="1" applyAlignment="1">
      <alignment horizontal="center"/>
    </xf>
    <xf numFmtId="0" fontId="0" fillId="18" borderId="2" xfId="0" applyFont="1" applyFill="1" applyBorder="1" applyAlignment="1">
      <alignment vertical="center" wrapText="1"/>
    </xf>
    <xf numFmtId="10" fontId="0" fillId="0" borderId="0" xfId="0" applyNumberFormat="1" applyFont="1" applyBorder="1" applyAlignment="1">
      <alignment horizontal="center" vertical="center"/>
    </xf>
    <xf numFmtId="0" fontId="18" fillId="0" borderId="30" xfId="0" applyFont="1" applyBorder="1" applyAlignment="1">
      <alignment horizontal="justify" vertical="center" wrapText="1"/>
    </xf>
    <xf numFmtId="9" fontId="24" fillId="0" borderId="34" xfId="0" applyNumberFormat="1" applyFont="1" applyBorder="1" applyAlignment="1">
      <alignment horizontal="center" vertical="center" wrapText="1"/>
    </xf>
    <xf numFmtId="0" fontId="20" fillId="3" borderId="13" xfId="13" applyFont="1" applyBorder="1" applyAlignment="1">
      <alignment horizontal="justify" vertical="center" wrapText="1"/>
    </xf>
    <xf numFmtId="165" fontId="24" fillId="0" borderId="35" xfId="0" applyNumberFormat="1" applyFont="1" applyBorder="1" applyAlignment="1">
      <alignment horizontal="center" vertical="center" wrapText="1"/>
    </xf>
    <xf numFmtId="10" fontId="22" fillId="0" borderId="0" xfId="0" applyNumberFormat="1" applyFont="1" applyAlignment="1">
      <alignment horizontal="center"/>
    </xf>
    <xf numFmtId="9" fontId="0" fillId="19" borderId="2" xfId="2" applyFont="1" applyFill="1" applyBorder="1" applyAlignment="1">
      <alignment horizontal="center" vertical="center"/>
    </xf>
    <xf numFmtId="0" fontId="0" fillId="19" borderId="2" xfId="0" applyFont="1" applyFill="1" applyBorder="1" applyAlignment="1">
      <alignment vertical="center" wrapText="1"/>
    </xf>
    <xf numFmtId="9" fontId="0" fillId="19" borderId="2" xfId="0" applyNumberFormat="1" applyFont="1" applyFill="1" applyBorder="1" applyAlignment="1">
      <alignment horizontal="center" vertical="center"/>
    </xf>
    <xf numFmtId="165" fontId="0" fillId="19" borderId="2" xfId="2" applyNumberFormat="1" applyFont="1" applyFill="1" applyBorder="1" applyAlignment="1">
      <alignment horizontal="center" vertical="center" wrapText="1"/>
    </xf>
    <xf numFmtId="0" fontId="0" fillId="19" borderId="2" xfId="0" applyFont="1" applyFill="1" applyBorder="1" applyAlignment="1">
      <alignment horizontal="center" vertical="center" wrapText="1"/>
    </xf>
    <xf numFmtId="9" fontId="0" fillId="19" borderId="2" xfId="0" applyNumberFormat="1" applyFont="1" applyFill="1" applyBorder="1" applyAlignment="1">
      <alignment horizontal="center" vertical="center" wrapText="1"/>
    </xf>
    <xf numFmtId="165" fontId="0" fillId="19" borderId="20" xfId="2" applyNumberFormat="1" applyFont="1" applyFill="1" applyBorder="1" applyAlignment="1">
      <alignment horizontal="center" vertical="center"/>
    </xf>
    <xf numFmtId="164" fontId="9" fillId="20" borderId="0" xfId="1" applyNumberFormat="1" applyFont="1" applyFill="1" applyAlignment="1">
      <alignment vertical="center"/>
    </xf>
    <xf numFmtId="0" fontId="9" fillId="20" borderId="0" xfId="0" applyFont="1" applyFill="1" applyAlignment="1">
      <alignment vertical="center"/>
    </xf>
    <xf numFmtId="164" fontId="4" fillId="0" borderId="0" xfId="0" applyNumberFormat="1" applyFont="1" applyFill="1" applyBorder="1" applyAlignment="1">
      <alignment vertical="center"/>
    </xf>
    <xf numFmtId="0" fontId="25" fillId="19" borderId="0" xfId="0" applyFont="1" applyFill="1" applyAlignment="1">
      <alignment vertical="center"/>
    </xf>
    <xf numFmtId="0" fontId="25" fillId="19" borderId="0" xfId="0" applyFont="1" applyFill="1" applyBorder="1" applyAlignment="1">
      <alignment vertical="center"/>
    </xf>
    <xf numFmtId="0" fontId="3" fillId="19" borderId="0" xfId="0" applyFont="1" applyFill="1" applyBorder="1" applyAlignment="1">
      <alignment vertical="center"/>
    </xf>
    <xf numFmtId="0" fontId="3" fillId="19" borderId="0" xfId="0" applyFont="1" applyFill="1" applyBorder="1"/>
    <xf numFmtId="165" fontId="9" fillId="19" borderId="0" xfId="2" applyNumberFormat="1" applyFont="1" applyFill="1" applyAlignment="1">
      <alignment horizontal="center" vertical="center"/>
    </xf>
    <xf numFmtId="164" fontId="9" fillId="19" borderId="0" xfId="1" applyNumberFormat="1" applyFont="1" applyFill="1" applyAlignment="1">
      <alignment vertical="center"/>
    </xf>
    <xf numFmtId="0" fontId="7" fillId="6" borderId="3" xfId="7" applyFont="1" applyFill="1" applyBorder="1" applyAlignment="1">
      <alignment horizontal="center" vertical="center" wrapText="1"/>
    </xf>
    <xf numFmtId="0" fontId="7" fillId="6" borderId="15" xfId="7" applyFont="1" applyFill="1" applyBorder="1" applyAlignment="1">
      <alignment horizontal="center" vertical="center" wrapText="1"/>
    </xf>
    <xf numFmtId="0" fontId="7" fillId="6" borderId="3" xfId="6" applyFont="1" applyFill="1" applyBorder="1" applyAlignment="1">
      <alignment horizontal="center" vertical="center" wrapText="1"/>
    </xf>
    <xf numFmtId="0" fontId="7" fillId="6" borderId="25" xfId="6" applyFont="1" applyFill="1" applyBorder="1" applyAlignment="1">
      <alignment horizontal="center" vertical="center" wrapText="1"/>
    </xf>
    <xf numFmtId="43" fontId="7" fillId="6" borderId="3" xfId="9" applyFont="1" applyFill="1" applyBorder="1" applyAlignment="1">
      <alignment horizontal="center" vertical="center" wrapText="1"/>
    </xf>
    <xf numFmtId="164" fontId="7" fillId="6" borderId="3" xfId="1" applyNumberFormat="1" applyFont="1" applyFill="1" applyBorder="1" applyAlignment="1">
      <alignment horizontal="center" vertical="center"/>
    </xf>
    <xf numFmtId="0" fontId="0" fillId="17" borderId="2" xfId="0" applyFont="1" applyFill="1" applyBorder="1" applyAlignment="1">
      <alignment horizontal="center" vertical="center" wrapText="1"/>
    </xf>
    <xf numFmtId="0" fontId="14" fillId="16" borderId="41" xfId="0" applyFont="1" applyFill="1" applyBorder="1" applyAlignment="1">
      <alignment horizontal="center" vertical="center"/>
    </xf>
    <xf numFmtId="0" fontId="14" fillId="16" borderId="0" xfId="0" applyFont="1" applyFill="1" applyBorder="1" applyAlignment="1">
      <alignment horizontal="center" vertical="center"/>
    </xf>
    <xf numFmtId="0" fontId="24" fillId="0" borderId="4" xfId="0" applyFont="1" applyBorder="1" applyAlignment="1">
      <alignment horizontal="center" vertical="center" wrapText="1"/>
    </xf>
    <xf numFmtId="165" fontId="24" fillId="0" borderId="37" xfId="0" applyNumberFormat="1" applyFont="1" applyBorder="1" applyAlignment="1">
      <alignment horizontal="center" vertical="center" wrapText="1"/>
    </xf>
    <xf numFmtId="165" fontId="24" fillId="0" borderId="38" xfId="0" applyNumberFormat="1" applyFont="1" applyBorder="1" applyAlignment="1">
      <alignment horizontal="center" vertical="center" wrapText="1"/>
    </xf>
    <xf numFmtId="0" fontId="24" fillId="0" borderId="39" xfId="0" applyFont="1" applyBorder="1" applyAlignment="1">
      <alignment horizontal="center" vertical="center" wrapText="1"/>
    </xf>
    <xf numFmtId="165" fontId="24" fillId="0" borderId="40" xfId="0" applyNumberFormat="1" applyFont="1" applyBorder="1" applyAlignment="1">
      <alignment horizontal="center" vertical="center" wrapText="1"/>
    </xf>
    <xf numFmtId="0" fontId="18" fillId="0" borderId="31" xfId="0" applyFont="1" applyBorder="1" applyAlignment="1">
      <alignment horizontal="justify" vertical="center" wrapText="1"/>
    </xf>
    <xf numFmtId="0" fontId="18" fillId="0" borderId="32" xfId="0" applyFont="1" applyBorder="1" applyAlignment="1">
      <alignment horizontal="justify" vertical="center" wrapText="1"/>
    </xf>
    <xf numFmtId="0" fontId="18" fillId="0" borderId="2" xfId="0" applyFont="1" applyBorder="1" applyAlignment="1">
      <alignment horizontal="center" vertical="center" wrapText="1"/>
    </xf>
    <xf numFmtId="10" fontId="18" fillId="0" borderId="8" xfId="2" applyNumberFormat="1" applyFont="1" applyBorder="1" applyAlignment="1">
      <alignment horizontal="center" vertical="center" wrapText="1"/>
    </xf>
    <xf numFmtId="0" fontId="24" fillId="0" borderId="4" xfId="0" applyFont="1" applyBorder="1" applyAlignment="1">
      <alignment horizontal="center" vertical="center"/>
    </xf>
    <xf numFmtId="0" fontId="19" fillId="0" borderId="0" xfId="0" applyFont="1" applyAlignment="1">
      <alignment horizontal="center" vertical="center" wrapText="1"/>
    </xf>
    <xf numFmtId="0" fontId="19" fillId="0" borderId="21" xfId="0" applyFont="1" applyBorder="1" applyAlignment="1">
      <alignment horizontal="center" vertical="center" wrapText="1"/>
    </xf>
    <xf numFmtId="9" fontId="18" fillId="0" borderId="2" xfId="0" applyNumberFormat="1" applyFont="1" applyBorder="1" applyAlignment="1">
      <alignment horizontal="center" vertical="center" wrapText="1"/>
    </xf>
    <xf numFmtId="0" fontId="18" fillId="0" borderId="33" xfId="0" applyFont="1" applyBorder="1" applyAlignment="1">
      <alignment horizontal="justify" vertical="center" wrapText="1"/>
    </xf>
    <xf numFmtId="167" fontId="9" fillId="0" borderId="0" xfId="0" applyNumberFormat="1" applyFont="1" applyAlignment="1">
      <alignment vertical="center"/>
    </xf>
    <xf numFmtId="167" fontId="9" fillId="0" borderId="0" xfId="8" applyNumberFormat="1" applyFont="1" applyAlignment="1">
      <alignment vertical="center"/>
    </xf>
    <xf numFmtId="165" fontId="9" fillId="0" borderId="0" xfId="0" applyNumberFormat="1" applyFont="1" applyAlignment="1">
      <alignment vertical="center"/>
    </xf>
    <xf numFmtId="164" fontId="9" fillId="21" borderId="0" xfId="0" applyNumberFormat="1" applyFont="1" applyFill="1" applyAlignment="1">
      <alignment vertical="center"/>
    </xf>
    <xf numFmtId="165" fontId="9" fillId="0" borderId="0" xfId="2" applyNumberFormat="1" applyFont="1" applyAlignment="1">
      <alignment vertical="center"/>
    </xf>
    <xf numFmtId="172" fontId="22" fillId="19" borderId="0" xfId="0" applyNumberFormat="1" applyFont="1" applyFill="1" applyAlignment="1">
      <alignment horizontal="center"/>
    </xf>
    <xf numFmtId="10" fontId="24" fillId="0" borderId="36" xfId="0" applyNumberFormat="1" applyFont="1" applyBorder="1" applyAlignment="1">
      <alignment horizontal="center" vertical="center" wrapText="1"/>
    </xf>
    <xf numFmtId="10" fontId="24" fillId="0" borderId="36" xfId="0" applyNumberFormat="1" applyFont="1" applyBorder="1" applyAlignment="1">
      <alignment horizontal="center" vertical="center"/>
    </xf>
    <xf numFmtId="9" fontId="4" fillId="19" borderId="2" xfId="0" applyNumberFormat="1" applyFont="1" applyFill="1" applyBorder="1" applyAlignment="1">
      <alignment horizontal="center" vertical="center"/>
    </xf>
    <xf numFmtId="9" fontId="4" fillId="19" borderId="2" xfId="2" applyFont="1" applyFill="1" applyBorder="1" applyAlignment="1">
      <alignment horizontal="center" vertical="center"/>
    </xf>
    <xf numFmtId="165" fontId="4" fillId="19" borderId="2" xfId="2" applyNumberFormat="1" applyFont="1" applyFill="1" applyBorder="1" applyAlignment="1">
      <alignment horizontal="center" vertical="center"/>
    </xf>
    <xf numFmtId="10" fontId="0" fillId="0" borderId="0" xfId="0" applyNumberFormat="1" applyFont="1" applyAlignment="1">
      <alignment horizontal="center"/>
    </xf>
    <xf numFmtId="10" fontId="0" fillId="0" borderId="0" xfId="0" applyNumberFormat="1" applyFont="1" applyBorder="1"/>
    <xf numFmtId="170" fontId="0" fillId="0" borderId="0" xfId="0" applyNumberFormat="1" applyFont="1" applyBorder="1"/>
    <xf numFmtId="10" fontId="0" fillId="0" borderId="0" xfId="0" applyNumberFormat="1" applyFont="1" applyAlignment="1">
      <alignment vertical="center"/>
    </xf>
    <xf numFmtId="165" fontId="0" fillId="0" borderId="0" xfId="0" applyNumberFormat="1" applyFont="1" applyAlignment="1">
      <alignment vertical="center"/>
    </xf>
    <xf numFmtId="10" fontId="20" fillId="16" borderId="11" xfId="13" applyNumberFormat="1" applyFont="1" applyFill="1" applyBorder="1" applyAlignment="1">
      <alignment horizontal="center" vertical="center" wrapText="1"/>
    </xf>
    <xf numFmtId="0" fontId="20" fillId="0" borderId="0" xfId="0" applyFont="1" applyAlignment="1">
      <alignment horizontal="center" wrapText="1"/>
    </xf>
    <xf numFmtId="0" fontId="0" fillId="19" borderId="20" xfId="0" applyFill="1" applyBorder="1" applyAlignment="1">
      <alignment vertical="top" wrapText="1"/>
    </xf>
    <xf numFmtId="0" fontId="0" fillId="19" borderId="20" xfId="0" applyFill="1" applyBorder="1" applyAlignment="1">
      <alignment vertical="center" wrapText="1"/>
    </xf>
    <xf numFmtId="0" fontId="0" fillId="19" borderId="2" xfId="0" applyFont="1" applyFill="1" applyBorder="1" applyAlignment="1">
      <alignment horizontal="left" vertical="center" wrapText="1"/>
    </xf>
    <xf numFmtId="0" fontId="4" fillId="19" borderId="2" xfId="0" applyFont="1" applyFill="1" applyBorder="1" applyAlignment="1">
      <alignment horizontal="left" vertical="center" wrapText="1"/>
    </xf>
    <xf numFmtId="9" fontId="0" fillId="19" borderId="2" xfId="0" applyNumberFormat="1" applyFont="1" applyFill="1" applyBorder="1" applyAlignment="1">
      <alignment vertical="center" wrapText="1"/>
    </xf>
    <xf numFmtId="0" fontId="15" fillId="19" borderId="2" xfId="12" applyFont="1" applyFill="1" applyBorder="1" applyAlignment="1">
      <alignment vertical="top" wrapText="1"/>
    </xf>
    <xf numFmtId="0" fontId="0" fillId="19" borderId="2" xfId="12" applyFont="1" applyFill="1" applyBorder="1" applyAlignment="1">
      <alignment vertical="center" wrapText="1"/>
    </xf>
    <xf numFmtId="0" fontId="23" fillId="19" borderId="2" xfId="0" applyFont="1" applyFill="1" applyBorder="1" applyAlignment="1">
      <alignment horizontal="left" vertical="center" wrapText="1" readingOrder="1"/>
    </xf>
    <xf numFmtId="0" fontId="23" fillId="16" borderId="0" xfId="0" applyFont="1" applyFill="1" applyAlignment="1">
      <alignment horizontal="center" vertical="center" readingOrder="1"/>
    </xf>
  </cellXfs>
  <cellStyles count="16">
    <cellStyle name="20% - Énfasis4" xfId="4" builtinId="42"/>
    <cellStyle name="40% - Énfasis1" xfId="13" builtinId="31"/>
    <cellStyle name="40% - Énfasis1 2" xfId="10"/>
    <cellStyle name="60% - Énfasis5" xfId="5" builtinId="48"/>
    <cellStyle name="Do Not Type" xfId="7"/>
    <cellStyle name="Énfasis1" xfId="3" builtinId="29"/>
    <cellStyle name="Énfasis5" xfId="14" builtinId="45"/>
    <cellStyle name="Millares" xfId="1" builtinId="3"/>
    <cellStyle name="Millares 3" xfId="9"/>
    <cellStyle name="Normal" xfId="0" builtinId="0"/>
    <cellStyle name="Normal 2" xfId="15"/>
    <cellStyle name="Normal 3" xfId="8"/>
    <cellStyle name="Normal 3 2" xfId="12"/>
    <cellStyle name="Notas" xfId="11" builtinId="10"/>
    <cellStyle name="Porcentaje" xfId="2" builtinId="5"/>
    <cellStyle name="Table Header"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xdr:col>
      <xdr:colOff>194733</xdr:colOff>
      <xdr:row>3</xdr:row>
      <xdr:rowOff>563562</xdr:rowOff>
    </xdr:from>
    <xdr:ext cx="1752338" cy="319190"/>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 xmlns:a16="http://schemas.microsoft.com/office/drawing/2014/main" id="{00000000-0008-0000-0300-000002000000}"/>
                </a:ext>
              </a:extLst>
            </xdr:cNvPr>
            <xdr:cNvSpPr txBox="1"/>
          </xdr:nvSpPr>
          <xdr:spPr>
            <a:xfrm>
              <a:off x="3176058" y="2697162"/>
              <a:ext cx="175233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𝐼𝐴</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𝐴𝑐𝑐𝑖𝑑𝑒𝑛𝑡𝑒𝑠</m:t>
                        </m:r>
                        <m:r>
                          <a:rPr lang="es-MX" sz="1000" b="0" i="1">
                            <a:latin typeface="Cambria Math" panose="02040503050406030204" pitchFamily="18" charset="0"/>
                          </a:rPr>
                          <m:t> </m:t>
                        </m:r>
                      </m:num>
                      <m:den>
                        <m:r>
                          <a:rPr lang="es-MX" sz="1000" b="0" i="1">
                            <a:latin typeface="Cambria Math" panose="02040503050406030204" pitchFamily="18" charset="0"/>
                          </a:rPr>
                          <m:t>𝐷𝑒𝑠𝑝𝑒𝑔𝑢𝑒𝑠</m:t>
                        </m:r>
                      </m:den>
                    </m:f>
                    <m:r>
                      <a:rPr lang="es-MX" sz="1000" b="0" i="1">
                        <a:latin typeface="Cambria Math" panose="02040503050406030204" pitchFamily="18" charset="0"/>
                      </a:rPr>
                      <m:t>  </m:t>
                    </m:r>
                    <m:r>
                      <a:rPr lang="es-MX" sz="1000" b="0" i="1">
                        <a:latin typeface="Cambria Math" panose="02040503050406030204" pitchFamily="18" charset="0"/>
                      </a:rPr>
                      <m:t>𝑋</m:t>
                    </m:r>
                    <m:r>
                      <a:rPr lang="es-MX" sz="1000" b="0" i="1">
                        <a:latin typeface="Cambria Math" panose="02040503050406030204" pitchFamily="18" charset="0"/>
                      </a:rPr>
                      <m:t>  1.000.000</m:t>
                    </m:r>
                  </m:oMath>
                </m:oMathPara>
              </a14:m>
              <a:endParaRPr lang="es-MX" sz="1000"/>
            </a:p>
          </xdr:txBody>
        </xdr:sp>
      </mc:Choice>
      <mc:Fallback xmlns="">
        <xdr:sp macro="" textlink="">
          <xdr:nvSpPr>
            <xdr:cNvPr id="2" name="CuadroTexto 1">
              <a:extLst>
                <a:ext uri="{FF2B5EF4-FFF2-40B4-BE49-F238E27FC236}">
                  <a16:creationId xmlns:a16="http://schemas.microsoft.com/office/drawing/2014/main" xmlns:a14="http://schemas.microsoft.com/office/drawing/2010/main" xmlns="" id="{00000000-0008-0000-0300-000002000000}"/>
                </a:ext>
              </a:extLst>
            </xdr:cNvPr>
            <xdr:cNvSpPr txBox="1"/>
          </xdr:nvSpPr>
          <xdr:spPr>
            <a:xfrm>
              <a:off x="3176058" y="2697162"/>
              <a:ext cx="175233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𝐼𝐴=</a:t>
              </a:r>
              <a:r>
                <a:rPr lang="es-MX" sz="1000" i="0">
                  <a:latin typeface="Cambria Math" panose="02040503050406030204" pitchFamily="18" charset="0"/>
                </a:rPr>
                <a:t>(</a:t>
              </a:r>
              <a:r>
                <a:rPr lang="es-MX" sz="1000" b="0" i="0">
                  <a:latin typeface="Cambria Math" panose="02040503050406030204" pitchFamily="18" charset="0"/>
                </a:rPr>
                <a:t>𝐴𝑐𝑐𝑖𝑑𝑒𝑛𝑡𝑒𝑠 )/𝐷𝑒𝑠𝑝𝑒𝑔𝑢𝑒𝑠   𝑋  1.000.000</a:t>
              </a:r>
              <a:endParaRPr lang="es-MX" sz="1000"/>
            </a:p>
          </xdr:txBody>
        </xdr:sp>
      </mc:Fallback>
    </mc:AlternateContent>
    <xdr:clientData/>
  </xdr:oneCellAnchor>
  <xdr:oneCellAnchor>
    <xdr:from>
      <xdr:col>3</xdr:col>
      <xdr:colOff>264319</xdr:colOff>
      <xdr:row>4</xdr:row>
      <xdr:rowOff>2440781</xdr:rowOff>
    </xdr:from>
    <xdr:ext cx="2556341" cy="240387"/>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 xmlns:a16="http://schemas.microsoft.com/office/drawing/2014/main" id="{00000000-0008-0000-0300-000003000000}"/>
                </a:ext>
              </a:extLst>
            </xdr:cNvPr>
            <xdr:cNvSpPr txBox="1"/>
          </xdr:nvSpPr>
          <xdr:spPr>
            <a:xfrm>
              <a:off x="3245644" y="5384006"/>
              <a:ext cx="2556341" cy="240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es-MX" sz="1100" b="0" i="1">
                      <a:latin typeface="Cambria Math" panose="02040503050406030204" pitchFamily="18" charset="0"/>
                    </a:rPr>
                    <m:t>𝑅𝑒𝑑𝑢𝑐</m:t>
                  </m:r>
                  <m:r>
                    <a:rPr lang="es-MX" sz="1100" b="0" i="1">
                      <a:latin typeface="Cambria Math" panose="02040503050406030204" pitchFamily="18" charset="0"/>
                    </a:rPr>
                    <m:t> </m:t>
                  </m:r>
                  <m:r>
                    <a:rPr lang="es-MX" sz="1100" b="0" i="1">
                      <a:latin typeface="Cambria Math" panose="02040503050406030204" pitchFamily="18" charset="0"/>
                    </a:rPr>
                    <m:t>𝑇</m:t>
                  </m:r>
                  <m:r>
                    <a:rPr lang="es-MX" sz="1100" b="0" i="1">
                      <a:latin typeface="Cambria Math" panose="02040503050406030204" pitchFamily="18" charset="0"/>
                    </a:rPr>
                    <m:t>.=</m:t>
                  </m:r>
                  <m:r>
                    <a:rPr lang="es-MX" sz="1100" b="0" i="1">
                      <a:latin typeface="Cambria Math" panose="02040503050406030204" pitchFamily="18" charset="0"/>
                    </a:rPr>
                    <m:t>𝑃𝑟𝑜𝑚𝑒𝑑𝑖𝑜</m:t>
                  </m:r>
                  <m:r>
                    <a:rPr lang="es-MX" sz="1100" b="0" i="1">
                      <a:latin typeface="Cambria Math" panose="02040503050406030204" pitchFamily="18" charset="0"/>
                    </a:rPr>
                    <m:t>((</m:t>
                  </m:r>
                  <m:f>
                    <m:fPr>
                      <m:ctrlPr>
                        <a:rPr lang="es-MX" sz="1100" i="1">
                          <a:latin typeface="Cambria Math" panose="02040503050406030204" pitchFamily="18" charset="0"/>
                        </a:rPr>
                      </m:ctrlPr>
                    </m:fPr>
                    <m:num>
                      <m:r>
                        <a:rPr lang="es-MX" sz="1100" b="0" i="1">
                          <a:latin typeface="Cambria Math" panose="02040503050406030204" pitchFamily="18" charset="0"/>
                        </a:rPr>
                        <m:t>𝐴𝐿𝐷𝑇</m:t>
                      </m:r>
                      <m:r>
                        <a:rPr lang="es-MX" sz="1100" b="0" i="1">
                          <a:latin typeface="Cambria Math" panose="02040503050406030204" pitchFamily="18" charset="0"/>
                        </a:rPr>
                        <m:t>−</m:t>
                      </m:r>
                      <m:r>
                        <a:rPr lang="es-MX" sz="1100" b="0" i="1">
                          <a:latin typeface="Cambria Math" panose="02040503050406030204" pitchFamily="18" charset="0"/>
                        </a:rPr>
                        <m:t>𝐴𝑇𝑂𝑇</m:t>
                      </m:r>
                    </m:num>
                    <m:den>
                      <m:r>
                        <a:rPr lang="es-MX" sz="1100" b="0" i="1">
                          <a:latin typeface="Cambria Math" panose="02040503050406030204" pitchFamily="18" charset="0"/>
                        </a:rPr>
                        <m:t>𝐸𝐸𝑇</m:t>
                      </m:r>
                    </m:den>
                  </m:f>
                  <m:r>
                    <a:rPr lang="es-MX" sz="1100" b="0" i="1">
                      <a:latin typeface="Cambria Math" panose="02040503050406030204" pitchFamily="18" charset="0"/>
                    </a:rPr>
                    <m:t>)</m:t>
                  </m:r>
                </m:oMath>
              </a14:m>
              <a:r>
                <a:rPr lang="es-MX" sz="1100"/>
                <a:t>-1)*100</a:t>
              </a:r>
            </a:p>
          </xdr:txBody>
        </xdr:sp>
      </mc:Choice>
      <mc:Fallback xmlns="">
        <xdr:sp macro="" textlink="">
          <xdr:nvSpPr>
            <xdr:cNvPr id="3" name="CuadroTexto 2">
              <a:extLst>
                <a:ext uri="{FF2B5EF4-FFF2-40B4-BE49-F238E27FC236}">
                  <a16:creationId xmlns:a16="http://schemas.microsoft.com/office/drawing/2014/main" xmlns:a14="http://schemas.microsoft.com/office/drawing/2010/main" xmlns="" id="{00000000-0008-0000-0300-000003000000}"/>
                </a:ext>
              </a:extLst>
            </xdr:cNvPr>
            <xdr:cNvSpPr txBox="1"/>
          </xdr:nvSpPr>
          <xdr:spPr>
            <a:xfrm>
              <a:off x="3245644" y="5384006"/>
              <a:ext cx="2556341" cy="240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𝑅𝑒𝑑𝑢𝑐 𝑇.=𝑃𝑟𝑜𝑚𝑒𝑑𝑖𝑜((</a:t>
              </a:r>
              <a:r>
                <a:rPr lang="es-MX" sz="1100" i="0">
                  <a:latin typeface="Cambria Math" panose="02040503050406030204" pitchFamily="18" charset="0"/>
                </a:rPr>
                <a:t>(</a:t>
              </a:r>
              <a:r>
                <a:rPr lang="es-MX" sz="1100" b="0" i="0">
                  <a:latin typeface="Cambria Math" panose="02040503050406030204" pitchFamily="18" charset="0"/>
                </a:rPr>
                <a:t>𝐴𝐿𝐷𝑇−𝐴𝑇𝑂𝑇)/𝐸𝐸𝑇)</a:t>
              </a:r>
              <a:r>
                <a:rPr lang="es-MX" sz="1100"/>
                <a:t>-1)*100</a:t>
              </a:r>
            </a:p>
          </xdr:txBody>
        </xdr:sp>
      </mc:Fallback>
    </mc:AlternateContent>
    <xdr:clientData/>
  </xdr:oneCellAnchor>
  <xdr:oneCellAnchor>
    <xdr:from>
      <xdr:col>3</xdr:col>
      <xdr:colOff>120650</xdr:colOff>
      <xdr:row>5</xdr:row>
      <xdr:rowOff>394228</xdr:rowOff>
    </xdr:from>
    <xdr:ext cx="2736903" cy="319190"/>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 xmlns:a16="http://schemas.microsoft.com/office/drawing/2014/main" id="{00000000-0008-0000-0300-000004000000}"/>
                </a:ext>
              </a:extLst>
            </xdr:cNvPr>
            <xdr:cNvSpPr txBox="1"/>
          </xdr:nvSpPr>
          <xdr:spPr>
            <a:xfrm>
              <a:off x="3101975" y="8538103"/>
              <a:ext cx="2736903"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lang="es-MX" sz="1000" b="0" i="0">
                        <a:latin typeface="Cambria Math" panose="02040503050406030204" pitchFamily="18" charset="0"/>
                      </a:rPr>
                      <m:t>CP</m:t>
                    </m:r>
                    <m:r>
                      <a:rPr lang="es-MX" sz="1000" b="0" i="1">
                        <a:latin typeface="Cambria Math" panose="02040503050406030204" pitchFamily="18" charset="0"/>
                      </a:rPr>
                      <m:t>𝑁𝐴</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𝑐𝑢𝑚𝑝𝑙𝑖𝑑𝑎𝑠</m:t>
                        </m:r>
                      </m:num>
                      <m:den>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𝑝𝑟𝑜𝑔𝑟𝑎𝑚𝑎𝑑𝑎𝑠</m:t>
                        </m:r>
                        <m:r>
                          <a:rPr lang="es-MX" sz="1000" b="0" i="1">
                            <a:latin typeface="Cambria Math" panose="02040503050406030204" pitchFamily="18" charset="0"/>
                          </a:rPr>
                          <m:t> </m:t>
                        </m:r>
                        <m:r>
                          <a:rPr lang="es-MX" sz="1000" b="0" i="1">
                            <a:latin typeface="Cambria Math" panose="02040503050406030204" pitchFamily="18" charset="0"/>
                          </a:rPr>
                          <m:t>𝑥</m:t>
                        </m:r>
                        <m:r>
                          <a:rPr lang="es-MX" sz="1000" b="0" i="1">
                            <a:latin typeface="Cambria Math" panose="02040503050406030204" pitchFamily="18" charset="0"/>
                          </a:rPr>
                          <m:t> </m:t>
                        </m:r>
                        <m:r>
                          <a:rPr lang="es-MX" sz="1000" b="0" i="1">
                            <a:latin typeface="Cambria Math" panose="02040503050406030204" pitchFamily="18" charset="0"/>
                          </a:rPr>
                          <m:t>𝑎</m:t>
                        </m:r>
                        <m:r>
                          <a:rPr lang="es-MX" sz="1000" b="0" i="1">
                            <a:latin typeface="Cambria Math" panose="02040503050406030204" pitchFamily="18" charset="0"/>
                          </a:rPr>
                          <m:t>ñ</m:t>
                        </m:r>
                        <m:r>
                          <a:rPr lang="es-MX" sz="1000" b="0" i="1">
                            <a:latin typeface="Cambria Math" panose="02040503050406030204" pitchFamily="18" charset="0"/>
                          </a:rPr>
                          <m:t>𝑜</m:t>
                        </m:r>
                      </m:den>
                    </m:f>
                    <m:r>
                      <a:rPr lang="es-MX" sz="1000" b="0" i="1">
                        <a:latin typeface="Cambria Math" panose="02040503050406030204" pitchFamily="18" charset="0"/>
                      </a:rPr>
                      <m:t> </m:t>
                    </m:r>
                    <m:r>
                      <a:rPr lang="es-MX" sz="1000" b="0" i="1">
                        <a:latin typeface="Cambria Math" panose="02040503050406030204" pitchFamily="18" charset="0"/>
                      </a:rPr>
                      <m:t>𝑥</m:t>
                    </m:r>
                    <m:r>
                      <a:rPr lang="es-MX" sz="1000" b="0" i="1">
                        <a:latin typeface="Cambria Math" panose="02040503050406030204" pitchFamily="18" charset="0"/>
                      </a:rPr>
                      <m:t> 100</m:t>
                    </m:r>
                  </m:oMath>
                </m:oMathPara>
              </a14:m>
              <a:endParaRPr lang="es-MX" sz="1000"/>
            </a:p>
          </xdr:txBody>
        </xdr:sp>
      </mc:Choice>
      <mc:Fallback xmlns="">
        <xdr:sp macro="" textlink="">
          <xdr:nvSpPr>
            <xdr:cNvPr id="4" name="CuadroTexto 3">
              <a:extLst>
                <a:ext uri="{FF2B5EF4-FFF2-40B4-BE49-F238E27FC236}">
                  <a16:creationId xmlns:a16="http://schemas.microsoft.com/office/drawing/2014/main" xmlns:a14="http://schemas.microsoft.com/office/drawing/2010/main" xmlns="" id="{00000000-0008-0000-0300-000004000000}"/>
                </a:ext>
              </a:extLst>
            </xdr:cNvPr>
            <xdr:cNvSpPr txBox="1"/>
          </xdr:nvSpPr>
          <xdr:spPr>
            <a:xfrm>
              <a:off x="3101975" y="8538103"/>
              <a:ext cx="2736903"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CP𝑁𝐴=</a:t>
              </a:r>
              <a:r>
                <a:rPr lang="es-MX" sz="1000" i="0">
                  <a:latin typeface="Cambria Math" panose="02040503050406030204" pitchFamily="18" charset="0"/>
                </a:rPr>
                <a:t>(</a:t>
              </a:r>
              <a:r>
                <a:rPr lang="es-MX" sz="1000" b="0" i="0">
                  <a:latin typeface="Cambria Math" panose="02040503050406030204" pitchFamily="18" charset="0"/>
                </a:rPr>
                <a:t>𝐴𝑐𝑡𝑖𝑣𝑖𝑑𝑎𝑑𝑒𝑠 𝑐𝑢𝑚𝑝𝑙𝑖𝑑𝑎𝑠)/(𝐴𝑐𝑡𝑖𝑣𝑖𝑑𝑎𝑑𝑒𝑠 𝑝𝑟𝑜𝑔𝑟𝑎𝑚𝑎𝑑𝑎𝑠 𝑥 𝑎ñ𝑜)  𝑥 100</a:t>
              </a:r>
              <a:endParaRPr lang="es-MX" sz="1000"/>
            </a:p>
          </xdr:txBody>
        </xdr:sp>
      </mc:Fallback>
    </mc:AlternateContent>
    <xdr:clientData/>
  </xdr:oneCellAnchor>
  <xdr:oneCellAnchor>
    <xdr:from>
      <xdr:col>3</xdr:col>
      <xdr:colOff>221722</xdr:colOff>
      <xdr:row>6</xdr:row>
      <xdr:rowOff>731307</xdr:rowOff>
    </xdr:from>
    <xdr:ext cx="3014864" cy="3204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 xmlns:a16="http://schemas.microsoft.com/office/drawing/2014/main" id="{00000000-0008-0000-0300-000005000000}"/>
                </a:ext>
              </a:extLst>
            </xdr:cNvPr>
            <xdr:cNvSpPr txBox="1"/>
          </xdr:nvSpPr>
          <xdr:spPr>
            <a:xfrm>
              <a:off x="3203047" y="9751482"/>
              <a:ext cx="3014864" cy="3204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𝐼𝑅</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𝐼𝑛𝑡</m:t>
                        </m:r>
                        <m:r>
                          <a:rPr lang="es-MX" sz="1000" b="0" i="1">
                            <a:latin typeface="Cambria Math" panose="02040503050406030204" pitchFamily="18" charset="0"/>
                          </a:rPr>
                          <m:t>. </m:t>
                        </m:r>
                        <m:r>
                          <a:rPr lang="es-MX" sz="1000" b="0" i="1">
                            <a:latin typeface="Cambria Math" panose="02040503050406030204" pitchFamily="18" charset="0"/>
                          </a:rPr>
                          <m:t>𝑖𝑙</m:t>
                        </m:r>
                        <m:r>
                          <a:rPr lang="es-MX" sz="1000" b="0" i="1">
                            <a:latin typeface="Cambria Math" panose="02040503050406030204" pitchFamily="18" charset="0"/>
                          </a:rPr>
                          <m:t>í</m:t>
                        </m:r>
                        <m:r>
                          <a:rPr lang="es-MX" sz="1000" b="0" i="1">
                            <a:latin typeface="Cambria Math" panose="02040503050406030204" pitchFamily="18" charset="0"/>
                          </a:rPr>
                          <m:t>𝑐𝑖𝑡𝑎</m:t>
                        </m:r>
                        <m:r>
                          <a:rPr lang="es-MX" sz="1000" b="0" i="1">
                            <a:latin typeface="Cambria Math" panose="02040503050406030204" pitchFamily="18" charset="0"/>
                          </a:rPr>
                          <m:t> </m:t>
                        </m:r>
                        <m:r>
                          <a:rPr lang="es-MX" sz="1000" b="0" i="1">
                            <a:latin typeface="Cambria Math" panose="02040503050406030204" pitchFamily="18" charset="0"/>
                          </a:rPr>
                          <m:t>𝑎</m:t>
                        </m:r>
                        <m:r>
                          <a:rPr lang="es-MX" sz="1000" b="0" i="1">
                            <a:latin typeface="Cambria Math" panose="02040503050406030204" pitchFamily="18" charset="0"/>
                          </a:rPr>
                          <m:t>ñ</m:t>
                        </m:r>
                        <m:r>
                          <a:rPr lang="es-MX" sz="1000" b="0" i="1">
                            <a:latin typeface="Cambria Math" panose="02040503050406030204" pitchFamily="18" charset="0"/>
                          </a:rPr>
                          <m:t>𝑜</m:t>
                        </m:r>
                        <m:r>
                          <a:rPr lang="es-MX" sz="1000" b="0" i="1">
                            <a:latin typeface="Cambria Math" panose="02040503050406030204" pitchFamily="18" charset="0"/>
                          </a:rPr>
                          <m:t> </m:t>
                        </m:r>
                        <m:d>
                          <m:dPr>
                            <m:ctrlPr>
                              <a:rPr lang="es-MX" sz="1000" b="0" i="1">
                                <a:latin typeface="Cambria Math" panose="02040503050406030204" pitchFamily="18" charset="0"/>
                              </a:rPr>
                            </m:ctrlPr>
                          </m:dPr>
                          <m:e>
                            <m:r>
                              <a:rPr lang="es-MX" sz="1000" b="0" i="1">
                                <a:latin typeface="Cambria Math" panose="02040503050406030204" pitchFamily="18" charset="0"/>
                              </a:rPr>
                              <m:t>𝑖</m:t>
                            </m:r>
                            <m:r>
                              <a:rPr lang="es-MX" sz="1000" b="0" i="1">
                                <a:latin typeface="Cambria Math" panose="02040503050406030204" pitchFamily="18" charset="0"/>
                              </a:rPr>
                              <m:t>−1</m:t>
                            </m:r>
                          </m:e>
                        </m:d>
                        <m:r>
                          <a:rPr lang="es-MX" sz="1000" b="0" i="1">
                            <a:latin typeface="Cambria Math" panose="02040503050406030204" pitchFamily="18" charset="0"/>
                          </a:rPr>
                          <m:t>−</m:t>
                        </m:r>
                        <m:r>
                          <a:rPr lang="es-MX" sz="1000" b="0" i="1">
                            <a:solidFill>
                              <a:schemeClr val="tx1"/>
                            </a:solidFill>
                            <a:effectLst/>
                            <a:latin typeface="Cambria Math" panose="02040503050406030204" pitchFamily="18" charset="0"/>
                            <a:ea typeface="+mn-ea"/>
                            <a:cs typeface="+mn-cs"/>
                          </a:rPr>
                          <m:t>𝐼𝑛𝑡</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𝑖𝑙</m:t>
                        </m:r>
                        <m:r>
                          <a:rPr lang="es-MX" sz="1000" b="0" i="1">
                            <a:solidFill>
                              <a:schemeClr val="tx1"/>
                            </a:solidFill>
                            <a:effectLst/>
                            <a:latin typeface="Cambria Math" panose="02040503050406030204" pitchFamily="18" charset="0"/>
                            <a:ea typeface="+mn-ea"/>
                            <a:cs typeface="+mn-cs"/>
                          </a:rPr>
                          <m:t>í</m:t>
                        </m:r>
                        <m:r>
                          <a:rPr lang="es-MX" sz="1000" b="0" i="1">
                            <a:solidFill>
                              <a:schemeClr val="tx1"/>
                            </a:solidFill>
                            <a:effectLst/>
                            <a:latin typeface="Cambria Math" panose="02040503050406030204" pitchFamily="18" charset="0"/>
                            <a:ea typeface="+mn-ea"/>
                            <a:cs typeface="+mn-cs"/>
                          </a:rPr>
                          <m:t>𝑐𝑖𝑡𝑎</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𝑎</m:t>
                        </m:r>
                        <m:r>
                          <a:rPr lang="es-MX" sz="1000" b="0" i="1">
                            <a:solidFill>
                              <a:schemeClr val="tx1"/>
                            </a:solidFill>
                            <a:effectLst/>
                            <a:latin typeface="Cambria Math" panose="02040503050406030204" pitchFamily="18" charset="0"/>
                            <a:ea typeface="+mn-ea"/>
                            <a:cs typeface="+mn-cs"/>
                          </a:rPr>
                          <m:t>ñ</m:t>
                        </m:r>
                        <m:r>
                          <a:rPr lang="es-MX" sz="1000" b="0" i="1">
                            <a:solidFill>
                              <a:schemeClr val="tx1"/>
                            </a:solidFill>
                            <a:effectLst/>
                            <a:latin typeface="Cambria Math" panose="02040503050406030204" pitchFamily="18" charset="0"/>
                            <a:ea typeface="+mn-ea"/>
                            <a:cs typeface="+mn-cs"/>
                          </a:rPr>
                          <m:t>𝑜</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𝑖</m:t>
                        </m:r>
                        <m:r>
                          <a:rPr lang="es-MX" sz="1000" b="0" i="1">
                            <a:solidFill>
                              <a:schemeClr val="tx1"/>
                            </a:solidFill>
                            <a:effectLst/>
                            <a:latin typeface="Cambria Math" panose="02040503050406030204" pitchFamily="18" charset="0"/>
                            <a:ea typeface="+mn-ea"/>
                            <a:cs typeface="+mn-cs"/>
                          </a:rPr>
                          <m:t>)</m:t>
                        </m:r>
                      </m:num>
                      <m:den>
                        <m:r>
                          <a:rPr lang="es-MX" sz="1000" b="0" i="1">
                            <a:solidFill>
                              <a:schemeClr val="tx1"/>
                            </a:solidFill>
                            <a:effectLst/>
                            <a:latin typeface="Cambria Math" panose="02040503050406030204" pitchFamily="18" charset="0"/>
                            <a:ea typeface="+mn-ea"/>
                            <a:cs typeface="+mn-cs"/>
                          </a:rPr>
                          <m:t>𝐼𝑛𝑡</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𝑖𝑙</m:t>
                        </m:r>
                        <m:r>
                          <a:rPr lang="es-MX" sz="1000" b="0" i="1">
                            <a:solidFill>
                              <a:schemeClr val="tx1"/>
                            </a:solidFill>
                            <a:effectLst/>
                            <a:latin typeface="Cambria Math" panose="02040503050406030204" pitchFamily="18" charset="0"/>
                            <a:ea typeface="+mn-ea"/>
                            <a:cs typeface="+mn-cs"/>
                          </a:rPr>
                          <m:t>í</m:t>
                        </m:r>
                        <m:r>
                          <a:rPr lang="es-MX" sz="1000" b="0" i="1">
                            <a:solidFill>
                              <a:schemeClr val="tx1"/>
                            </a:solidFill>
                            <a:effectLst/>
                            <a:latin typeface="Cambria Math" panose="02040503050406030204" pitchFamily="18" charset="0"/>
                            <a:ea typeface="+mn-ea"/>
                            <a:cs typeface="+mn-cs"/>
                          </a:rPr>
                          <m:t>𝑐𝑖𝑡𝑎</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𝑎</m:t>
                        </m:r>
                        <m:r>
                          <a:rPr lang="es-MX" sz="1000" b="0" i="1">
                            <a:solidFill>
                              <a:schemeClr val="tx1"/>
                            </a:solidFill>
                            <a:effectLst/>
                            <a:latin typeface="Cambria Math" panose="02040503050406030204" pitchFamily="18" charset="0"/>
                            <a:ea typeface="+mn-ea"/>
                            <a:cs typeface="+mn-cs"/>
                          </a:rPr>
                          <m:t>ñ</m:t>
                        </m:r>
                        <m:r>
                          <a:rPr lang="es-MX" sz="1000" b="0" i="1">
                            <a:solidFill>
                              <a:schemeClr val="tx1"/>
                            </a:solidFill>
                            <a:effectLst/>
                            <a:latin typeface="Cambria Math" panose="02040503050406030204" pitchFamily="18" charset="0"/>
                            <a:ea typeface="+mn-ea"/>
                            <a:cs typeface="+mn-cs"/>
                          </a:rPr>
                          <m:t>𝑜</m:t>
                        </m:r>
                        <m:r>
                          <a:rPr lang="es-MX" sz="1000" b="0" i="1">
                            <a:solidFill>
                              <a:schemeClr val="tx1"/>
                            </a:solidFill>
                            <a:effectLst/>
                            <a:latin typeface="Cambria Math" panose="02040503050406030204" pitchFamily="18" charset="0"/>
                            <a:ea typeface="+mn-ea"/>
                            <a:cs typeface="+mn-cs"/>
                          </a:rPr>
                          <m:t> </m:t>
                        </m:r>
                        <m:d>
                          <m:dPr>
                            <m:ctrlPr>
                              <a:rPr lang="es-MX" sz="1000" b="0" i="1">
                                <a:solidFill>
                                  <a:schemeClr val="tx1"/>
                                </a:solidFill>
                                <a:effectLst/>
                                <a:latin typeface="Cambria Math" panose="02040503050406030204" pitchFamily="18" charset="0"/>
                                <a:ea typeface="+mn-ea"/>
                                <a:cs typeface="+mn-cs"/>
                              </a:rPr>
                            </m:ctrlPr>
                          </m:dPr>
                          <m:e>
                            <m:r>
                              <a:rPr lang="es-MX" sz="1000" b="0" i="1">
                                <a:solidFill>
                                  <a:schemeClr val="tx1"/>
                                </a:solidFill>
                                <a:effectLst/>
                                <a:latin typeface="Cambria Math" panose="02040503050406030204" pitchFamily="18" charset="0"/>
                                <a:ea typeface="+mn-ea"/>
                                <a:cs typeface="+mn-cs"/>
                              </a:rPr>
                              <m:t>𝑖</m:t>
                            </m:r>
                            <m:r>
                              <a:rPr lang="es-MX" sz="1000" b="0" i="1">
                                <a:solidFill>
                                  <a:schemeClr val="tx1"/>
                                </a:solidFill>
                                <a:effectLst/>
                                <a:latin typeface="Cambria Math" panose="02040503050406030204" pitchFamily="18" charset="0"/>
                                <a:ea typeface="+mn-ea"/>
                                <a:cs typeface="+mn-cs"/>
                              </a:rPr>
                              <m:t>−1</m:t>
                            </m:r>
                          </m:e>
                        </m:d>
                      </m:den>
                    </m:f>
                    <m:r>
                      <a:rPr lang="es-MX" sz="1000" b="0" i="1">
                        <a:latin typeface="Cambria Math" panose="02040503050406030204" pitchFamily="18" charset="0"/>
                      </a:rPr>
                      <m:t>𝑥</m:t>
                    </m:r>
                    <m:r>
                      <a:rPr lang="es-MX" sz="1000" b="0" i="1">
                        <a:latin typeface="Cambria Math" panose="02040503050406030204" pitchFamily="18" charset="0"/>
                      </a:rPr>
                      <m:t> 100</m:t>
                    </m:r>
                  </m:oMath>
                </m:oMathPara>
              </a14:m>
              <a:endParaRPr lang="es-MX" sz="1000"/>
            </a:p>
          </xdr:txBody>
        </xdr:sp>
      </mc:Choice>
      <mc:Fallback xmlns="">
        <xdr:sp macro="" textlink="">
          <xdr:nvSpPr>
            <xdr:cNvPr id="5" name="CuadroTexto 4">
              <a:extLst>
                <a:ext uri="{FF2B5EF4-FFF2-40B4-BE49-F238E27FC236}">
                  <a16:creationId xmlns:a16="http://schemas.microsoft.com/office/drawing/2014/main" xmlns:a14="http://schemas.microsoft.com/office/drawing/2010/main" xmlns="" id="{00000000-0008-0000-0300-000005000000}"/>
                </a:ext>
              </a:extLst>
            </xdr:cNvPr>
            <xdr:cNvSpPr txBox="1"/>
          </xdr:nvSpPr>
          <xdr:spPr>
            <a:xfrm>
              <a:off x="3203047" y="9751482"/>
              <a:ext cx="3014864" cy="3204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𝐼𝑅=</a:t>
              </a:r>
              <a:r>
                <a:rPr lang="es-MX" sz="1000" i="0">
                  <a:latin typeface="Cambria Math" panose="02040503050406030204" pitchFamily="18" charset="0"/>
                </a:rPr>
                <a:t>(</a:t>
              </a:r>
              <a:r>
                <a:rPr lang="es-MX" sz="1000" b="0" i="0">
                  <a:latin typeface="Cambria Math" panose="02040503050406030204" pitchFamily="18" charset="0"/>
                </a:rPr>
                <a:t>𝐼𝑛𝑡. 𝑖𝑙í𝑐𝑖𝑡𝑎 𝑎ñ𝑜 (𝑖−1)−</a:t>
              </a:r>
              <a:r>
                <a:rPr lang="es-MX" sz="1000" b="0" i="0">
                  <a:solidFill>
                    <a:schemeClr val="tx1"/>
                  </a:solidFill>
                  <a:effectLst/>
                  <a:latin typeface="Cambria Math" panose="02040503050406030204" pitchFamily="18" charset="0"/>
                  <a:ea typeface="+mn-ea"/>
                  <a:cs typeface="+mn-cs"/>
                </a:rPr>
                <a:t>𝐼𝑛𝑡. 𝑖𝑙í𝑐𝑖𝑡𝑎 𝑎ñ𝑜 (𝑖))/(𝐼𝑛𝑡. 𝑖𝑙í𝑐𝑖𝑡𝑎 𝑎ñ𝑜 (𝑖−1) ) </a:t>
              </a:r>
              <a:r>
                <a:rPr lang="es-MX" sz="1000" b="0" i="0">
                  <a:latin typeface="Cambria Math" panose="02040503050406030204" pitchFamily="18" charset="0"/>
                </a:rPr>
                <a:t>𝑥 100</a:t>
              </a:r>
              <a:endParaRPr lang="es-MX" sz="1000"/>
            </a:p>
          </xdr:txBody>
        </xdr:sp>
      </mc:Fallback>
    </mc:AlternateContent>
    <xdr:clientData/>
  </xdr:oneCellAnchor>
  <xdr:oneCellAnchor>
    <xdr:from>
      <xdr:col>3</xdr:col>
      <xdr:colOff>128587</xdr:colOff>
      <xdr:row>7</xdr:row>
      <xdr:rowOff>1597818</xdr:rowOff>
    </xdr:from>
    <xdr:ext cx="3212995" cy="264816"/>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 xmlns:a16="http://schemas.microsoft.com/office/drawing/2014/main" id="{00000000-0008-0000-0300-000006000000}"/>
                </a:ext>
              </a:extLst>
            </xdr:cNvPr>
            <xdr:cNvSpPr txBox="1"/>
          </xdr:nvSpPr>
          <xdr:spPr>
            <a:xfrm>
              <a:off x="3109912" y="12056268"/>
              <a:ext cx="3212995" cy="264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es-MX" sz="1100" b="0" i="1">
                      <a:latin typeface="Cambria Math" panose="02040503050406030204" pitchFamily="18" charset="0"/>
                    </a:rPr>
                    <m:t>𝑅𝑒𝑑𝑢𝑐</m:t>
                  </m:r>
                  <m:r>
                    <a:rPr lang="es-MX" sz="1100" b="0" i="1">
                      <a:latin typeface="Cambria Math" panose="02040503050406030204" pitchFamily="18" charset="0"/>
                    </a:rPr>
                    <m:t> </m:t>
                  </m:r>
                  <m:r>
                    <a:rPr lang="es-MX" sz="1100" b="0" i="1">
                      <a:latin typeface="Cambria Math" panose="02040503050406030204" pitchFamily="18" charset="0"/>
                    </a:rPr>
                    <m:t>𝑇</m:t>
                  </m:r>
                  <m:r>
                    <a:rPr lang="es-MX" sz="1100" b="0" i="1">
                      <a:latin typeface="Cambria Math" panose="02040503050406030204" pitchFamily="18" charset="0"/>
                    </a:rPr>
                    <m:t>.=(</m:t>
                  </m:r>
                  <m:f>
                    <m:fPr>
                      <m:ctrlPr>
                        <a:rPr lang="es-MX" sz="1100" i="1">
                          <a:latin typeface="Cambria Math" panose="02040503050406030204" pitchFamily="18" charset="0"/>
                        </a:rPr>
                      </m:ctrlPr>
                    </m:fPr>
                    <m:num>
                      <m:r>
                        <a:rPr lang="es-MX" sz="1100" b="0" i="1">
                          <a:latin typeface="Cambria Math" panose="02040503050406030204" pitchFamily="18" charset="0"/>
                        </a:rPr>
                        <m:t>𝑃𝑟𝑜𝑚𝑒𝑑𝑖𝑜</m:t>
                      </m:r>
                      <m:r>
                        <a:rPr lang="es-MX" sz="1100" b="0" i="1">
                          <a:latin typeface="Cambria Math" panose="02040503050406030204" pitchFamily="18" charset="0"/>
                        </a:rPr>
                        <m:t> </m:t>
                      </m:r>
                      <m:r>
                        <a:rPr lang="es-MX" sz="1100" b="0" i="1">
                          <a:latin typeface="Cambria Math" panose="02040503050406030204" pitchFamily="18" charset="0"/>
                        </a:rPr>
                        <m:t>𝑇𝑖𝑒𝑚𝑝𝑜</m:t>
                      </m:r>
                      <m:r>
                        <a:rPr lang="es-MX" sz="1100" b="0" i="1">
                          <a:latin typeface="Cambria Math" panose="02040503050406030204" pitchFamily="18" charset="0"/>
                        </a:rPr>
                        <m:t> </m:t>
                      </m:r>
                      <m:r>
                        <a:rPr lang="es-MX" sz="1100" b="0" i="1">
                          <a:latin typeface="Cambria Math" panose="02040503050406030204" pitchFamily="18" charset="0"/>
                        </a:rPr>
                        <m:t>𝑅𝑒𝑎𝑙</m:t>
                      </m:r>
                      <m:r>
                        <a:rPr lang="es-MX" sz="1100" b="0" i="1">
                          <a:latin typeface="Cambria Math" panose="02040503050406030204" pitchFamily="18" charset="0"/>
                        </a:rPr>
                        <m:t>−</m:t>
                      </m:r>
                      <m:r>
                        <a:rPr lang="es-MX" sz="1100" b="0" i="1">
                          <a:latin typeface="Cambria Math" panose="02040503050406030204" pitchFamily="18" charset="0"/>
                        </a:rPr>
                        <m:t>𝑇𝑖𝑒𝑚𝑝𝑜</m:t>
                      </m:r>
                      <m:r>
                        <a:rPr lang="es-MX" sz="1100" b="0" i="1">
                          <a:latin typeface="Cambria Math" panose="02040503050406030204" pitchFamily="18" charset="0"/>
                        </a:rPr>
                        <m:t> </m:t>
                      </m:r>
                      <m:r>
                        <a:rPr lang="es-MX" sz="1100" b="0" i="1">
                          <a:latin typeface="Cambria Math" panose="02040503050406030204" pitchFamily="18" charset="0"/>
                        </a:rPr>
                        <m:t>𝑒𝑠𝑡𝑖𝑚𝑎𝑑𝑜</m:t>
                      </m:r>
                    </m:num>
                    <m:den>
                      <m:r>
                        <a:rPr lang="es-MX" sz="1100" b="0" i="1">
                          <a:latin typeface="Cambria Math" panose="02040503050406030204" pitchFamily="18" charset="0"/>
                        </a:rPr>
                        <m:t>𝑇𝑖𝑒𝑚𝑝𝑜</m:t>
                      </m:r>
                      <m:r>
                        <a:rPr lang="es-MX" sz="1100" b="0" i="1">
                          <a:latin typeface="Cambria Math" panose="02040503050406030204" pitchFamily="18" charset="0"/>
                        </a:rPr>
                        <m:t> </m:t>
                      </m:r>
                      <m:r>
                        <a:rPr lang="es-MX" sz="1100" b="0" i="1">
                          <a:latin typeface="Cambria Math" panose="02040503050406030204" pitchFamily="18" charset="0"/>
                        </a:rPr>
                        <m:t>𝑒𝑠𝑡𝑖𝑚𝑎𝑑𝑜</m:t>
                      </m:r>
                    </m:den>
                  </m:f>
                  <m:r>
                    <a:rPr lang="es-MX" sz="1100" b="0" i="1">
                      <a:latin typeface="Cambria Math" panose="02040503050406030204" pitchFamily="18" charset="0"/>
                    </a:rPr>
                    <m:t>)</m:t>
                  </m:r>
                </m:oMath>
              </a14:m>
              <a:r>
                <a:rPr lang="es-MX" sz="1100"/>
                <a:t>*100</a:t>
              </a:r>
            </a:p>
          </xdr:txBody>
        </xdr:sp>
      </mc:Choice>
      <mc:Fallback xmlns="">
        <xdr:sp macro="" textlink="">
          <xdr:nvSpPr>
            <xdr:cNvPr id="6" name="CuadroTexto 5">
              <a:extLst>
                <a:ext uri="{FF2B5EF4-FFF2-40B4-BE49-F238E27FC236}">
                  <a16:creationId xmlns:a16="http://schemas.microsoft.com/office/drawing/2014/main" xmlns:a14="http://schemas.microsoft.com/office/drawing/2010/main" xmlns="" id="{00000000-0008-0000-0300-000006000000}"/>
                </a:ext>
              </a:extLst>
            </xdr:cNvPr>
            <xdr:cNvSpPr txBox="1"/>
          </xdr:nvSpPr>
          <xdr:spPr>
            <a:xfrm>
              <a:off x="3109912" y="12056268"/>
              <a:ext cx="3212995" cy="264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𝑅𝑒𝑑𝑢𝑐 𝑇.=(</a:t>
              </a:r>
              <a:r>
                <a:rPr lang="es-MX" sz="1100" i="0">
                  <a:latin typeface="Cambria Math" panose="02040503050406030204" pitchFamily="18" charset="0"/>
                </a:rPr>
                <a:t>(</a:t>
              </a:r>
              <a:r>
                <a:rPr lang="es-MX" sz="1100" b="0" i="0">
                  <a:latin typeface="Cambria Math" panose="02040503050406030204" pitchFamily="18" charset="0"/>
                </a:rPr>
                <a:t>𝑃𝑟𝑜𝑚𝑒𝑑𝑖𝑜 𝑇𝑖𝑒𝑚𝑝𝑜 𝑅𝑒𝑎𝑙−𝑇𝑖𝑒𝑚𝑝𝑜 𝑒𝑠𝑡𝑖𝑚𝑎𝑑𝑜)/(𝑇𝑖𝑒𝑚𝑝𝑜 𝑒𝑠𝑡𝑖𝑚𝑎𝑑𝑜))</a:t>
              </a:r>
              <a:r>
                <a:rPr lang="es-MX" sz="1100"/>
                <a:t>*100</a:t>
              </a:r>
            </a:p>
          </xdr:txBody>
        </xdr:sp>
      </mc:Fallback>
    </mc:AlternateContent>
    <xdr:clientData/>
  </xdr:oneCellAnchor>
  <xdr:twoCellAnchor>
    <xdr:from>
      <xdr:col>3</xdr:col>
      <xdr:colOff>152400</xdr:colOff>
      <xdr:row>9</xdr:row>
      <xdr:rowOff>4762</xdr:rowOff>
    </xdr:from>
    <xdr:to>
      <xdr:col>4</xdr:col>
      <xdr:colOff>0</xdr:colOff>
      <xdr:row>9</xdr:row>
      <xdr:rowOff>4762</xdr:rowOff>
    </xdr:to>
    <xdr:grpSp>
      <xdr:nvGrpSpPr>
        <xdr:cNvPr id="7" name="Grupo 6">
          <a:extLst>
            <a:ext uri="{FF2B5EF4-FFF2-40B4-BE49-F238E27FC236}">
              <a16:creationId xmlns="" xmlns:a16="http://schemas.microsoft.com/office/drawing/2014/main" id="{00000000-0008-0000-0300-000007000000}"/>
            </a:ext>
          </a:extLst>
        </xdr:cNvPr>
        <xdr:cNvGrpSpPr/>
      </xdr:nvGrpSpPr>
      <xdr:grpSpPr>
        <a:xfrm>
          <a:off x="2904067" y="16229012"/>
          <a:ext cx="3350683" cy="0"/>
          <a:chOff x="4876800" y="7777162"/>
          <a:chExt cx="1907352" cy="445672"/>
        </a:xfrm>
      </xdr:grpSpPr>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 xmlns:a16="http://schemas.microsoft.com/office/drawing/2014/main" id="{00000000-0008-0000-0300-000008000000}"/>
                  </a:ext>
                </a:extLst>
              </xdr:cNvPr>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m:rPr>
                          <m:nor/>
                        </m:rPr>
                        <a:rPr lang="es-MX" sz="900">
                          <a:solidFill>
                            <a:schemeClr val="tx1"/>
                          </a:solidFill>
                          <a:effectLst/>
                          <a:latin typeface="+mn-lt"/>
                          <a:ea typeface="+mn-ea"/>
                          <a:cs typeface="+mn-cs"/>
                        </a:rPr>
                        <m:t> </m:t>
                      </m:r>
                      <m:r>
                        <m:rPr>
                          <m:nor/>
                        </m:rPr>
                        <a:rPr lang="es-MX" sz="900">
                          <a:solidFill>
                            <a:schemeClr val="tx1"/>
                          </a:solidFill>
                          <a:effectLst/>
                          <a:latin typeface="+mn-lt"/>
                          <a:ea typeface="+mn-ea"/>
                          <a:cs typeface="+mn-cs"/>
                        </a:rPr>
                        <m:t>Combustible</m:t>
                      </m:r>
                      <m:r>
                        <m:rPr>
                          <m:nor/>
                        </m:rPr>
                        <a:rPr lang="es-MX" sz="900">
                          <a:solidFill>
                            <a:schemeClr val="tx1"/>
                          </a:solidFill>
                          <a:effectLst/>
                          <a:latin typeface="+mn-lt"/>
                          <a:ea typeface="+mn-ea"/>
                          <a:cs typeface="+mn-cs"/>
                        </a:rPr>
                        <m:t>)</m:t>
                      </m:r>
                    </m:oMath>
                  </m:oMathPara>
                </a14:m>
                <a:endParaRPr lang="es-MX" sz="900"/>
              </a:p>
            </xdr:txBody>
          </xdr:sp>
        </mc:Choice>
        <mc:Fallback xmlns="">
          <xdr:sp macro="" textlink="">
            <xdr:nvSpPr>
              <xdr:cNvPr id="8" name="CuadroTexto 7">
                <a:extLst>
                  <a:ext uri="{FF2B5EF4-FFF2-40B4-BE49-F238E27FC236}">
                    <a16:creationId xmlns:a16="http://schemas.microsoft.com/office/drawing/2014/main" xmlns:a14="http://schemas.microsoft.com/office/drawing/2010/main" xmlns="" id="{00000000-0008-0000-0300-000008000000}"/>
                  </a:ext>
                </a:extLst>
              </xdr:cNvPr>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a:t>
                </a:r>
                <a:r>
                  <a:rPr lang="es-MX" sz="900" i="0">
                    <a:solidFill>
                      <a:schemeClr val="tx1"/>
                    </a:solidFill>
                    <a:effectLst/>
                    <a:latin typeface="Cambria Math" panose="02040503050406030204" pitchFamily="18" charset="0"/>
                    <a:ea typeface="+mn-ea"/>
                    <a:cs typeface="+mn-cs"/>
                  </a:rPr>
                  <a:t> Combustible)</a:t>
                </a:r>
                <a:r>
                  <a:rPr lang="es-CO" sz="900" i="0">
                    <a:solidFill>
                      <a:schemeClr val="tx1"/>
                    </a:solidFill>
                    <a:effectLst/>
                    <a:latin typeface="+mn-lt"/>
                    <a:ea typeface="+mn-ea"/>
                    <a:cs typeface="+mn-cs"/>
                  </a:rPr>
                  <a:t>"</a:t>
                </a:r>
                <a:endParaRPr lang="es-MX" sz="900"/>
              </a:p>
            </xdr:txBody>
          </xdr:sp>
        </mc:Fallback>
      </mc:AlternateContent>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 xmlns:a16="http://schemas.microsoft.com/office/drawing/2014/main" id="{00000000-0008-0000-0300-000009000000}"/>
                  </a:ext>
                </a:extLst>
              </xdr:cNvPr>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𝐸𝐸𝑇</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𝐴𝐸𝐸𝑇</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9" name="CuadroTexto 8">
                <a:extLst>
                  <a:ext uri="{FF2B5EF4-FFF2-40B4-BE49-F238E27FC236}">
                    <a16:creationId xmlns:a16="http://schemas.microsoft.com/office/drawing/2014/main" xmlns:a14="http://schemas.microsoft.com/office/drawing/2010/main" xmlns="" id="{00000000-0008-0000-0300-000009000000}"/>
                  </a:ext>
                </a:extLst>
              </xdr:cNvPr>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(𝐸𝐸𝑇 −𝐴𝐸𝐸𝑇)</a:t>
                </a:r>
                <a:endParaRPr lang="es-MX" sz="900"/>
              </a:p>
            </xdr:txBody>
          </xdr:sp>
        </mc:Fallback>
      </mc:AlternateContent>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 xmlns:a16="http://schemas.microsoft.com/office/drawing/2014/main" id="{00000000-0008-0000-0300-00000A000000}"/>
                  </a:ext>
                </a:extLst>
              </xdr:cNvPr>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 </m:t>
                          </m:r>
                          <m:r>
                            <a:rPr lang="es-MX" sz="900" b="0" i="1">
                              <a:latin typeface="Cambria Math" panose="02040503050406030204" pitchFamily="18" charset="0"/>
                            </a:rPr>
                            <m:t>𝐶𝑂</m:t>
                          </m:r>
                          <m:r>
                            <a:rPr lang="es-MX" sz="900" b="0" i="1">
                              <a:latin typeface="Cambria Math" panose="02040503050406030204" pitchFamily="18" charset="0"/>
                            </a:rPr>
                            <m:t>2</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𝑡𝑒𝑜𝑟𝑖𝑐𝑜</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𝑟𝑒𝑎𝑙</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10" name="CuadroTexto 9">
                <a:extLst>
                  <a:ext uri="{FF2B5EF4-FFF2-40B4-BE49-F238E27FC236}">
                    <a16:creationId xmlns:a16="http://schemas.microsoft.com/office/drawing/2014/main" xmlns:a14="http://schemas.microsoft.com/office/drawing/2010/main" xmlns="" id="{00000000-0008-0000-0300-00000A000000}"/>
                  </a:ext>
                </a:extLst>
              </xdr:cNvPr>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 𝐶𝑂2)=</a:t>
                </a:r>
                <a:r>
                  <a:rPr lang="es-MX" sz="900" b="0" i="0">
                    <a:solidFill>
                      <a:schemeClr val="tx1"/>
                    </a:solidFill>
                    <a:effectLst/>
                    <a:latin typeface="Cambria Math" panose="02040503050406030204" pitchFamily="18" charset="0"/>
                    <a:ea typeface="+mn-ea"/>
                    <a:cs typeface="+mn-cs"/>
                  </a:rPr>
                  <a:t>(𝐶𝑂2 𝑡𝑒𝑜𝑟𝑖𝑐𝑜 −𝐶𝑂2 𝑟𝑒𝑎𝑙)</a:t>
                </a:r>
                <a:endParaRPr lang="es-MX" sz="900"/>
              </a:p>
            </xdr:txBody>
          </xdr:sp>
        </mc:Fallback>
      </mc:AlternateContent>
    </xdr:grpSp>
    <xdr:clientData/>
  </xdr:twoCellAnchor>
  <xdr:oneCellAnchor>
    <xdr:from>
      <xdr:col>3</xdr:col>
      <xdr:colOff>111919</xdr:colOff>
      <xdr:row>9</xdr:row>
      <xdr:rowOff>442912</xdr:rowOff>
    </xdr:from>
    <xdr:ext cx="2667973" cy="318100"/>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 xmlns:a16="http://schemas.microsoft.com/office/drawing/2014/main" id="{00000000-0008-0000-0300-00000B000000}"/>
                </a:ext>
              </a:extLst>
            </xdr:cNvPr>
            <xdr:cNvSpPr txBox="1"/>
          </xdr:nvSpPr>
          <xdr:spPr>
            <a:xfrm>
              <a:off x="3093244" y="16111537"/>
              <a:ext cx="2667973"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𝐼𝐶𝐴</m:t>
                    </m:r>
                    <m:r>
                      <a:rPr lang="es-MX" sz="1000" b="0" i="1">
                        <a:latin typeface="Cambria Math" panose="02040503050406030204" pitchFamily="18" charset="0"/>
                      </a:rPr>
                      <m:t>=</m:t>
                    </m:r>
                    <m:r>
                      <a:rPr lang="es-MX" sz="1000" b="0" i="1">
                        <a:latin typeface="Cambria Math" panose="02040503050406030204" pitchFamily="18" charset="0"/>
                      </a:rPr>
                      <m:t>𝑝𝑟𝑜𝑚𝑒𝑑𝑖𝑜</m:t>
                    </m:r>
                    <m:f>
                      <m:fPr>
                        <m:ctrlPr>
                          <a:rPr lang="es-MX" sz="1000" b="0" i="1">
                            <a:latin typeface="Cambria Math" panose="02040503050406030204" pitchFamily="18" charset="0"/>
                          </a:rPr>
                        </m:ctrlPr>
                      </m:fPr>
                      <m:num>
                        <m:r>
                          <a:rPr lang="es-MX" sz="1000" b="0" i="1">
                            <a:latin typeface="Cambria Math" panose="02040503050406030204" pitchFamily="18" charset="0"/>
                          </a:rPr>
                          <m:t>% </m:t>
                        </m:r>
                        <m:r>
                          <a:rPr lang="es-MX" sz="1000" b="0" i="1">
                            <a:latin typeface="Cambria Math" panose="02040503050406030204" pitchFamily="18" charset="0"/>
                          </a:rPr>
                          <m:t>𝑐𝑢𝑚𝑝𝑙𝑖𝑚𝑖𝑒𝑛𝑡𝑜</m:t>
                        </m:r>
                        <m:r>
                          <a:rPr lang="es-MX" sz="1000" b="0" i="1">
                            <a:latin typeface="Cambria Math" panose="02040503050406030204" pitchFamily="18" charset="0"/>
                          </a:rPr>
                          <m:t> </m:t>
                        </m:r>
                        <m:r>
                          <a:rPr lang="es-MX" sz="1000" b="0" i="1">
                            <a:latin typeface="Cambria Math" panose="02040503050406030204" pitchFamily="18" charset="0"/>
                          </a:rPr>
                          <m:t>𝑎𝑒𝑟𝑜𝑝𝑢𝑒𝑟𝑡𝑜𝑠</m:t>
                        </m:r>
                      </m:num>
                      <m:den>
                        <m:r>
                          <a:rPr lang="es-MX" sz="1000" b="0" i="1">
                            <a:latin typeface="Cambria Math" panose="02040503050406030204" pitchFamily="18" charset="0"/>
                          </a:rPr>
                          <m:t># </m:t>
                        </m:r>
                        <m:r>
                          <a:rPr lang="es-MX" sz="1000" b="0" i="1">
                            <a:latin typeface="Cambria Math" panose="02040503050406030204" pitchFamily="18" charset="0"/>
                          </a:rPr>
                          <m:t>𝑎𝑒𝑟𝑜𝑝𝑢𝑒𝑟𝑡𝑜𝑠</m:t>
                        </m:r>
                      </m:den>
                    </m:f>
                  </m:oMath>
                </m:oMathPara>
              </a14:m>
              <a:endParaRPr lang="es-MX" sz="1000"/>
            </a:p>
          </xdr:txBody>
        </xdr:sp>
      </mc:Choice>
      <mc:Fallback xmlns="">
        <xdr:sp macro="" textlink="">
          <xdr:nvSpPr>
            <xdr:cNvPr id="11" name="CuadroTexto 10">
              <a:extLst>
                <a:ext uri="{FF2B5EF4-FFF2-40B4-BE49-F238E27FC236}">
                  <a16:creationId xmlns:a16="http://schemas.microsoft.com/office/drawing/2014/main" xmlns:a14="http://schemas.microsoft.com/office/drawing/2010/main" xmlns="" id="{00000000-0008-0000-0300-00000B000000}"/>
                </a:ext>
              </a:extLst>
            </xdr:cNvPr>
            <xdr:cNvSpPr txBox="1"/>
          </xdr:nvSpPr>
          <xdr:spPr>
            <a:xfrm>
              <a:off x="3093244" y="16111537"/>
              <a:ext cx="2667973"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𝐼𝐶𝐴=𝑝𝑟𝑜𝑚𝑒𝑑𝑖𝑜 (% 𝑐𝑢𝑚𝑝𝑙𝑖𝑚𝑖𝑒𝑛𝑡𝑜 𝑎𝑒𝑟𝑜𝑝𝑢𝑒𝑟𝑡𝑜𝑠)/(# 𝑎𝑒𝑟𝑜𝑝𝑢𝑒𝑟𝑡𝑜𝑠)</a:t>
              </a:r>
              <a:endParaRPr lang="es-MX" sz="1000"/>
            </a:p>
          </xdr:txBody>
        </xdr:sp>
      </mc:Fallback>
    </mc:AlternateContent>
    <xdr:clientData/>
  </xdr:oneCellAnchor>
  <xdr:twoCellAnchor>
    <xdr:from>
      <xdr:col>3</xdr:col>
      <xdr:colOff>27186</xdr:colOff>
      <xdr:row>11</xdr:row>
      <xdr:rowOff>76206</xdr:rowOff>
    </xdr:from>
    <xdr:to>
      <xdr:col>3</xdr:col>
      <xdr:colOff>3430374</xdr:colOff>
      <xdr:row>11</xdr:row>
      <xdr:rowOff>781057</xdr:rowOff>
    </xdr:to>
    <xdr:grpSp>
      <xdr:nvGrpSpPr>
        <xdr:cNvPr id="12" name="Grupo 11">
          <a:extLst>
            <a:ext uri="{FF2B5EF4-FFF2-40B4-BE49-F238E27FC236}">
              <a16:creationId xmlns="" xmlns:a16="http://schemas.microsoft.com/office/drawing/2014/main" id="{00000000-0008-0000-0300-00000C000000}"/>
            </a:ext>
          </a:extLst>
        </xdr:cNvPr>
        <xdr:cNvGrpSpPr/>
      </xdr:nvGrpSpPr>
      <xdr:grpSpPr>
        <a:xfrm>
          <a:off x="2778853" y="18565289"/>
          <a:ext cx="3403188" cy="704851"/>
          <a:chOff x="4819182" y="10982325"/>
          <a:chExt cx="1152993" cy="731869"/>
        </a:xfrm>
      </xdr:grpSpPr>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 xmlns:a16="http://schemas.microsoft.com/office/drawing/2014/main" id="{00000000-0008-0000-0300-00000D000000}"/>
                  </a:ext>
                </a:extLst>
              </xdr:cNvPr>
              <xdr:cNvSpPr txBox="1"/>
            </xdr:nvSpPr>
            <xdr:spPr>
              <a:xfrm>
                <a:off x="4819650" y="10982325"/>
                <a:ext cx="1152525"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MX" sz="1000" i="1">
                              <a:latin typeface="Cambria Math" panose="02040503050406030204" pitchFamily="18" charset="0"/>
                            </a:rPr>
                          </m:ctrlPr>
                        </m:fPr>
                        <m:num>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𝑜𝑝𝑒𝑟𝑎𝑑𝑎𝑠</m:t>
                          </m:r>
                        </m:num>
                        <m:den>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𝑎𝑝𝑟𝑜𝑏𝑎𝑑𝑎𝑠</m:t>
                          </m:r>
                        </m:den>
                      </m:f>
                    </m:oMath>
                  </m:oMathPara>
                </a14:m>
                <a:endParaRPr lang="es-MX" sz="1000"/>
              </a:p>
            </xdr:txBody>
          </xdr:sp>
        </mc:Choice>
        <mc:Fallback xmlns="">
          <xdr:sp macro="" textlink="">
            <xdr:nvSpPr>
              <xdr:cNvPr id="13" name="CuadroTexto 12">
                <a:extLst>
                  <a:ext uri="{FF2B5EF4-FFF2-40B4-BE49-F238E27FC236}">
                    <a16:creationId xmlns:a16="http://schemas.microsoft.com/office/drawing/2014/main" xmlns:a14="http://schemas.microsoft.com/office/drawing/2010/main" xmlns="" id="{00000000-0008-0000-0300-00000D000000}"/>
                  </a:ext>
                </a:extLst>
              </xdr:cNvPr>
              <xdr:cNvSpPr txBox="1"/>
            </xdr:nvSpPr>
            <xdr:spPr>
              <a:xfrm>
                <a:off x="4819650" y="10982325"/>
                <a:ext cx="1152525"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MX" sz="1000" i="0">
                    <a:latin typeface="Cambria Math" panose="02040503050406030204" pitchFamily="18" charset="0"/>
                  </a:rPr>
                  <a:t>(</a:t>
                </a:r>
                <a:r>
                  <a:rPr lang="es-MX" sz="1000" b="0" i="0">
                    <a:latin typeface="Cambria Math" panose="02040503050406030204" pitchFamily="18" charset="0"/>
                  </a:rPr>
                  <a:t>𝑟𝑢𝑡𝑎𝑠 𝑜𝑝𝑒𝑟𝑎𝑑𝑎𝑠)/(𝑟𝑢𝑡𝑎𝑠 𝑎𝑝𝑟𝑜𝑏𝑎𝑑𝑎𝑠)</a:t>
                </a:r>
                <a:endParaRPr lang="es-MX" sz="1000"/>
              </a:p>
            </xdr:txBody>
          </xdr:sp>
        </mc:Fallback>
      </mc:AlternateContent>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 xmlns:a16="http://schemas.microsoft.com/office/drawing/2014/main" id="{00000000-0008-0000-0300-00000E000000}"/>
                  </a:ext>
                </a:extLst>
              </xdr:cNvPr>
              <xdr:cNvSpPr txBox="1"/>
            </xdr:nvSpPr>
            <xdr:spPr>
              <a:xfrm>
                <a:off x="4819182" y="11382373"/>
                <a:ext cx="1152525" cy="331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MX" sz="1000" i="1">
                              <a:latin typeface="Cambria Math" panose="02040503050406030204" pitchFamily="18" charset="0"/>
                            </a:rPr>
                          </m:ctrlPr>
                        </m:fPr>
                        <m:num>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𝑎𝑝𝑟𝑜𝑏𝑎𝑑𝑎𝑠</m:t>
                          </m:r>
                        </m:num>
                        <m:den>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𝑠𝑜𝑙𝑖𝑐𝑖𝑡𝑎𝑑𝑎𝑠</m:t>
                          </m:r>
                        </m:den>
                      </m:f>
                    </m:oMath>
                  </m:oMathPara>
                </a14:m>
                <a:endParaRPr lang="es-MX" sz="1000"/>
              </a:p>
            </xdr:txBody>
          </xdr:sp>
        </mc:Choice>
        <mc:Fallback xmlns="">
          <xdr:sp macro="" textlink="">
            <xdr:nvSpPr>
              <xdr:cNvPr id="14" name="CuadroTexto 13">
                <a:extLst>
                  <a:ext uri="{FF2B5EF4-FFF2-40B4-BE49-F238E27FC236}">
                    <a16:creationId xmlns:a16="http://schemas.microsoft.com/office/drawing/2014/main" xmlns:a14="http://schemas.microsoft.com/office/drawing/2010/main" xmlns="" id="{00000000-0008-0000-0300-00000E000000}"/>
                  </a:ext>
                </a:extLst>
              </xdr:cNvPr>
              <xdr:cNvSpPr txBox="1"/>
            </xdr:nvSpPr>
            <xdr:spPr>
              <a:xfrm>
                <a:off x="4819182" y="11382373"/>
                <a:ext cx="1152525" cy="331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MX" sz="1000" i="0">
                    <a:latin typeface="Cambria Math" panose="02040503050406030204" pitchFamily="18" charset="0"/>
                  </a:rPr>
                  <a:t>(</a:t>
                </a:r>
                <a:r>
                  <a:rPr lang="es-MX" sz="1000" b="0" i="0">
                    <a:latin typeface="Cambria Math" panose="02040503050406030204" pitchFamily="18" charset="0"/>
                  </a:rPr>
                  <a:t>𝑟𝑢𝑡𝑎𝑠 𝑎𝑝𝑟𝑜𝑏𝑎𝑑𝑎𝑠)/(𝑟𝑢𝑡𝑎𝑠 𝑠𝑜𝑙𝑖𝑐𝑖𝑡𝑎𝑑𝑎𝑠)</a:t>
                </a:r>
                <a:endParaRPr lang="es-MX" sz="1000"/>
              </a:p>
            </xdr:txBody>
          </xdr:sp>
        </mc:Fallback>
      </mc:AlternateContent>
    </xdr:grpSp>
    <xdr:clientData/>
  </xdr:twoCellAnchor>
  <xdr:oneCellAnchor>
    <xdr:from>
      <xdr:col>3</xdr:col>
      <xdr:colOff>283368</xdr:colOff>
      <xdr:row>12</xdr:row>
      <xdr:rowOff>433387</xdr:rowOff>
    </xdr:from>
    <xdr:ext cx="2021579" cy="292259"/>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 xmlns:a16="http://schemas.microsoft.com/office/drawing/2014/main" id="{00000000-0008-0000-0300-00000F000000}"/>
                </a:ext>
              </a:extLst>
            </xdr:cNvPr>
            <xdr:cNvSpPr txBox="1"/>
          </xdr:nvSpPr>
          <xdr:spPr>
            <a:xfrm>
              <a:off x="3264693" y="19254787"/>
              <a:ext cx="2021579" cy="2922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𝐶𝑃𝑇</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𝑁𝑜𝑟𝑚𝑎𝑠</m:t>
                        </m:r>
                        <m:r>
                          <a:rPr lang="es-MX" sz="1000" b="0" i="1">
                            <a:latin typeface="Cambria Math" panose="02040503050406030204" pitchFamily="18" charset="0"/>
                          </a:rPr>
                          <m:t> </m:t>
                        </m:r>
                        <m:r>
                          <a:rPr lang="es-MX" sz="1000" b="0" i="1">
                            <a:latin typeface="Cambria Math" panose="02040503050406030204" pitchFamily="18" charset="0"/>
                          </a:rPr>
                          <m:t>𝑎𝑟𝑚𝑜𝑛𝑖𝑧𝑎𝑑𝑎𝑠</m:t>
                        </m:r>
                      </m:num>
                      <m:den>
                        <m:r>
                          <a:rPr lang="es-MX" sz="1000" b="0" i="1">
                            <a:latin typeface="Cambria Math" panose="02040503050406030204" pitchFamily="18" charset="0"/>
                          </a:rPr>
                          <m:t>𝑁𝑜𝑟𝑚𝑎𝑠</m:t>
                        </m:r>
                        <m:r>
                          <a:rPr lang="es-MX" sz="1000" b="0" i="1">
                            <a:latin typeface="Cambria Math" panose="02040503050406030204" pitchFamily="18" charset="0"/>
                          </a:rPr>
                          <m:t> </m:t>
                        </m:r>
                        <m:r>
                          <a:rPr lang="es-MX" sz="1000" b="0" i="1">
                            <a:latin typeface="Cambria Math" panose="02040503050406030204" pitchFamily="18" charset="0"/>
                          </a:rPr>
                          <m:t>𝐿𝐴𝑅</m:t>
                        </m:r>
                      </m:den>
                    </m:f>
                    <m:r>
                      <a:rPr lang="es-MX" sz="1000" b="0" i="1">
                        <a:latin typeface="Cambria Math" panose="02040503050406030204" pitchFamily="18" charset="0"/>
                      </a:rPr>
                      <m:t>𝑥</m:t>
                    </m:r>
                    <m:r>
                      <a:rPr lang="es-MX" sz="1000" b="0" i="1">
                        <a:latin typeface="Cambria Math" panose="02040503050406030204" pitchFamily="18" charset="0"/>
                      </a:rPr>
                      <m:t> 100</m:t>
                    </m:r>
                  </m:oMath>
                </m:oMathPara>
              </a14:m>
              <a:endParaRPr lang="es-MX" sz="1000"/>
            </a:p>
          </xdr:txBody>
        </xdr:sp>
      </mc:Choice>
      <mc:Fallback xmlns="">
        <xdr:sp macro="" textlink="">
          <xdr:nvSpPr>
            <xdr:cNvPr id="15" name="CuadroTexto 14">
              <a:extLst>
                <a:ext uri="{FF2B5EF4-FFF2-40B4-BE49-F238E27FC236}">
                  <a16:creationId xmlns:a16="http://schemas.microsoft.com/office/drawing/2014/main" xmlns:a14="http://schemas.microsoft.com/office/drawing/2010/main" xmlns="" id="{00000000-0008-0000-0300-00000F000000}"/>
                </a:ext>
              </a:extLst>
            </xdr:cNvPr>
            <xdr:cNvSpPr txBox="1"/>
          </xdr:nvSpPr>
          <xdr:spPr>
            <a:xfrm>
              <a:off x="3264693" y="19254787"/>
              <a:ext cx="2021579" cy="2922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𝐶𝑃𝑇=</a:t>
              </a:r>
              <a:r>
                <a:rPr lang="es-MX" sz="1000" i="0">
                  <a:latin typeface="Cambria Math" panose="02040503050406030204" pitchFamily="18" charset="0"/>
                </a:rPr>
                <a:t>(</a:t>
              </a:r>
              <a:r>
                <a:rPr lang="es-MX" sz="1000" b="0" i="0">
                  <a:latin typeface="Cambria Math" panose="02040503050406030204" pitchFamily="18" charset="0"/>
                </a:rPr>
                <a:t>𝑁𝑜𝑟𝑚𝑎𝑠 𝑎𝑟𝑚𝑜𝑛𝑖𝑧𝑎𝑑𝑎𝑠)/(𝑁𝑜𝑟𝑚𝑎𝑠 𝐿𝐴𝑅) 𝑥 100</a:t>
              </a:r>
              <a:endParaRPr lang="es-MX" sz="1000"/>
            </a:p>
          </xdr:txBody>
        </xdr:sp>
      </mc:Fallback>
    </mc:AlternateContent>
    <xdr:clientData/>
  </xdr:oneCellAnchor>
  <xdr:oneCellAnchor>
    <xdr:from>
      <xdr:col>3</xdr:col>
      <xdr:colOff>577322</xdr:colOff>
      <xdr:row>14</xdr:row>
      <xdr:rowOff>166687</xdr:rowOff>
    </xdr:from>
    <xdr:ext cx="1706043" cy="319959"/>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 xmlns:a16="http://schemas.microsoft.com/office/drawing/2014/main" id="{00000000-0008-0000-0300-000010000000}"/>
                </a:ext>
              </a:extLst>
            </xdr:cNvPr>
            <xdr:cNvSpPr txBox="1"/>
          </xdr:nvSpPr>
          <xdr:spPr>
            <a:xfrm>
              <a:off x="3558647" y="20750212"/>
              <a:ext cx="1706043" cy="319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𝐸𝑅</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 </m:t>
                        </m:r>
                        <m:r>
                          <a:rPr lang="es-MX" sz="1000" b="0" i="1">
                            <a:latin typeface="Cambria Math" panose="02040503050406030204" pitchFamily="18" charset="0"/>
                          </a:rPr>
                          <m:t>𝐸𝑗𝑒𝑐𝑢𝑐𝑖</m:t>
                        </m:r>
                        <m:r>
                          <a:rPr lang="es-MX" sz="1000" b="0" i="1">
                            <a:latin typeface="Cambria Math" panose="02040503050406030204" pitchFamily="18" charset="0"/>
                          </a:rPr>
                          <m:t>ó</m:t>
                        </m:r>
                        <m:r>
                          <a:rPr lang="es-MX" sz="1000" b="0" i="1">
                            <a:latin typeface="Cambria Math" panose="02040503050406030204" pitchFamily="18" charset="0"/>
                          </a:rPr>
                          <m:t>𝑛</m:t>
                        </m:r>
                        <m:r>
                          <a:rPr lang="es-MX" sz="1000" b="0" i="1">
                            <a:latin typeface="Cambria Math" panose="02040503050406030204" pitchFamily="18" charset="0"/>
                          </a:rPr>
                          <m:t> </m:t>
                        </m:r>
                        <m:r>
                          <a:rPr lang="es-MX" sz="1000" b="0" i="1">
                            <a:latin typeface="Cambria Math" panose="02040503050406030204" pitchFamily="18" charset="0"/>
                          </a:rPr>
                          <m:t>𝐹</m:t>
                        </m:r>
                        <m:r>
                          <a:rPr lang="es-MX" sz="1000" b="0" i="1">
                            <a:latin typeface="Cambria Math" panose="02040503050406030204" pitchFamily="18" charset="0"/>
                          </a:rPr>
                          <m:t>í</m:t>
                        </m:r>
                        <m:r>
                          <a:rPr lang="es-MX" sz="1000" b="0" i="1">
                            <a:latin typeface="Cambria Math" panose="02040503050406030204" pitchFamily="18" charset="0"/>
                          </a:rPr>
                          <m:t>𝑠𝑖𝑐𝑎</m:t>
                        </m:r>
                        <m:r>
                          <a:rPr lang="es-MX" sz="1000" b="0" i="1">
                            <a:latin typeface="Cambria Math" panose="02040503050406030204" pitchFamily="18" charset="0"/>
                          </a:rPr>
                          <m:t> </m:t>
                        </m:r>
                      </m:num>
                      <m:den>
                        <m:r>
                          <a:rPr lang="es-MX" sz="1000" b="0" i="1">
                            <a:latin typeface="Cambria Math" panose="02040503050406030204" pitchFamily="18" charset="0"/>
                          </a:rPr>
                          <m:t>%</m:t>
                        </m:r>
                        <m:r>
                          <a:rPr lang="es-MX" sz="1000" b="0" i="1">
                            <a:latin typeface="Cambria Math" panose="02040503050406030204" pitchFamily="18" charset="0"/>
                          </a:rPr>
                          <m:t>𝐸𝑗𝑒𝑐𝑢𝑐𝑖</m:t>
                        </m:r>
                        <m:r>
                          <a:rPr lang="es-MX" sz="1000" b="0" i="1">
                            <a:latin typeface="Cambria Math" panose="02040503050406030204" pitchFamily="18" charset="0"/>
                          </a:rPr>
                          <m:t>ó</m:t>
                        </m:r>
                        <m:r>
                          <a:rPr lang="es-MX" sz="1000" b="0" i="1">
                            <a:latin typeface="Cambria Math" panose="02040503050406030204" pitchFamily="18" charset="0"/>
                          </a:rPr>
                          <m:t>𝑛</m:t>
                        </m:r>
                        <m:r>
                          <a:rPr lang="es-MX" sz="1000" b="0" i="1">
                            <a:latin typeface="Cambria Math" panose="02040503050406030204" pitchFamily="18" charset="0"/>
                          </a:rPr>
                          <m:t> </m:t>
                        </m:r>
                        <m:r>
                          <a:rPr lang="es-MX" sz="1000" b="0" i="1">
                            <a:latin typeface="Cambria Math" panose="02040503050406030204" pitchFamily="18" charset="0"/>
                          </a:rPr>
                          <m:t>𝐹𝑖𝑛𝑎𝑛𝑐𝑖𝑒𝑟𝑎</m:t>
                        </m:r>
                      </m:den>
                    </m:f>
                  </m:oMath>
                </m:oMathPara>
              </a14:m>
              <a:endParaRPr lang="es-MX" sz="1000"/>
            </a:p>
          </xdr:txBody>
        </xdr:sp>
      </mc:Choice>
      <mc:Fallback xmlns="">
        <xdr:sp macro="" textlink="">
          <xdr:nvSpPr>
            <xdr:cNvPr id="16" name="CuadroTexto 15">
              <a:extLst>
                <a:ext uri="{FF2B5EF4-FFF2-40B4-BE49-F238E27FC236}">
                  <a16:creationId xmlns:a16="http://schemas.microsoft.com/office/drawing/2014/main" xmlns:a14="http://schemas.microsoft.com/office/drawing/2010/main" xmlns="" id="{00000000-0008-0000-0300-000010000000}"/>
                </a:ext>
              </a:extLst>
            </xdr:cNvPr>
            <xdr:cNvSpPr txBox="1"/>
          </xdr:nvSpPr>
          <xdr:spPr>
            <a:xfrm>
              <a:off x="3558647" y="20750212"/>
              <a:ext cx="1706043" cy="319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𝐸𝑅=</a:t>
              </a:r>
              <a:r>
                <a:rPr lang="es-MX" sz="1000" i="0">
                  <a:latin typeface="Cambria Math" panose="02040503050406030204" pitchFamily="18" charset="0"/>
                </a:rPr>
                <a:t>(</a:t>
              </a:r>
              <a:r>
                <a:rPr lang="es-MX" sz="1000" b="0" i="0">
                  <a:latin typeface="Cambria Math" panose="02040503050406030204" pitchFamily="18" charset="0"/>
                </a:rPr>
                <a:t>% 𝐸𝑗𝑒𝑐𝑢𝑐𝑖ó𝑛 𝐹í𝑠𝑖𝑐𝑎 )/(%𝐸𝑗𝑒𝑐𝑢𝑐𝑖ó𝑛 𝐹𝑖𝑛𝑎𝑛𝑐𝑖𝑒𝑟𝑎)</a:t>
              </a:r>
              <a:endParaRPr lang="es-MX" sz="1000"/>
            </a:p>
          </xdr:txBody>
        </xdr:sp>
      </mc:Fallback>
    </mc:AlternateContent>
    <xdr:clientData/>
  </xdr:oneCellAnchor>
  <xdr:oneCellAnchor>
    <xdr:from>
      <xdr:col>3</xdr:col>
      <xdr:colOff>71437</xdr:colOff>
      <xdr:row>15</xdr:row>
      <xdr:rowOff>280987</xdr:rowOff>
    </xdr:from>
    <xdr:ext cx="2561278" cy="319190"/>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 xmlns:a16="http://schemas.microsoft.com/office/drawing/2014/main" id="{00000000-0008-0000-0300-000011000000}"/>
                </a:ext>
              </a:extLst>
            </xdr:cNvPr>
            <xdr:cNvSpPr txBox="1"/>
          </xdr:nvSpPr>
          <xdr:spPr>
            <a:xfrm>
              <a:off x="3052762" y="21588412"/>
              <a:ext cx="256127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𝐶𝑢𝑚𝑝𝑙𝑖𝑚𝑖𝑒𝑛𝑡𝑜</m:t>
                    </m:r>
                    <m:r>
                      <a:rPr lang="es-MX" sz="1000" b="0" i="1">
                        <a:latin typeface="Cambria Math" panose="02040503050406030204" pitchFamily="18" charset="0"/>
                      </a:rPr>
                      <m:t> </m:t>
                    </m:r>
                    <m:r>
                      <a:rPr lang="es-MX" sz="1000" b="0" i="1">
                        <a:latin typeface="Cambria Math" panose="02040503050406030204" pitchFamily="18" charset="0"/>
                      </a:rPr>
                      <m:t>𝐼𝑃𝐴</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𝑉𝑎𝑙𝑜𝑟</m:t>
                        </m:r>
                        <m:r>
                          <a:rPr lang="es-MX" sz="1000" b="0" i="1">
                            <a:latin typeface="Cambria Math" panose="02040503050406030204" pitchFamily="18" charset="0"/>
                          </a:rPr>
                          <m:t> </m:t>
                        </m:r>
                        <m:r>
                          <a:rPr lang="es-MX" sz="1000" b="0" i="1">
                            <a:latin typeface="Cambria Math" panose="02040503050406030204" pitchFamily="18" charset="0"/>
                          </a:rPr>
                          <m:t>𝑡𝑜𝑡𝑎𝑙</m:t>
                        </m:r>
                        <m:r>
                          <a:rPr lang="es-MX" sz="1000" b="0" i="1">
                            <a:latin typeface="Cambria Math" panose="02040503050406030204" pitchFamily="18" charset="0"/>
                          </a:rPr>
                          <m:t> </m:t>
                        </m:r>
                        <m:r>
                          <a:rPr lang="es-MX" sz="1000" b="0" i="1">
                            <a:latin typeface="Cambria Math" panose="02040503050406030204" pitchFamily="18" charset="0"/>
                          </a:rPr>
                          <m:t>𝑑𝑒</m:t>
                        </m:r>
                        <m:r>
                          <a:rPr lang="es-MX" sz="1000" b="0" i="1">
                            <a:latin typeface="Cambria Math" panose="02040503050406030204" pitchFamily="18" charset="0"/>
                          </a:rPr>
                          <m:t> </m:t>
                        </m:r>
                        <m:r>
                          <a:rPr lang="es-MX" sz="1000" b="0" i="1">
                            <a:latin typeface="Cambria Math" panose="02040503050406030204" pitchFamily="18" charset="0"/>
                          </a:rPr>
                          <m:t>𝑟𝑒𝑐𝑎𝑢𝑑𝑜</m:t>
                        </m:r>
                      </m:num>
                      <m:den>
                        <m:r>
                          <a:rPr lang="es-MX" sz="1000" b="0" i="1">
                            <a:latin typeface="Cambria Math" panose="02040503050406030204" pitchFamily="18" charset="0"/>
                          </a:rPr>
                          <m:t>𝑉𝑎𝑙𝑜𝑟</m:t>
                        </m:r>
                        <m:r>
                          <a:rPr lang="es-MX" sz="1000" b="0" i="1">
                            <a:latin typeface="Cambria Math" panose="02040503050406030204" pitchFamily="18" charset="0"/>
                          </a:rPr>
                          <m:t> </m:t>
                        </m:r>
                        <m:r>
                          <a:rPr lang="es-MX" sz="1000" b="0" i="1">
                            <a:latin typeface="Cambria Math" panose="02040503050406030204" pitchFamily="18" charset="0"/>
                          </a:rPr>
                          <m:t>𝑡𝑜𝑡𝑎𝑙</m:t>
                        </m:r>
                        <m:r>
                          <a:rPr lang="es-MX" sz="1000" b="0" i="1">
                            <a:latin typeface="Cambria Math" panose="02040503050406030204" pitchFamily="18" charset="0"/>
                          </a:rPr>
                          <m:t> </m:t>
                        </m:r>
                        <m:r>
                          <a:rPr lang="es-MX" sz="1000" b="0" i="1">
                            <a:latin typeface="Cambria Math" panose="02040503050406030204" pitchFamily="18" charset="0"/>
                          </a:rPr>
                          <m:t>𝑖𝑛𝑔𝑟𝑒𝑠𝑜</m:t>
                        </m:r>
                      </m:den>
                    </m:f>
                  </m:oMath>
                </m:oMathPara>
              </a14:m>
              <a:endParaRPr lang="es-MX" sz="1000"/>
            </a:p>
          </xdr:txBody>
        </xdr:sp>
      </mc:Choice>
      <mc:Fallback xmlns="">
        <xdr:sp macro="" textlink="">
          <xdr:nvSpPr>
            <xdr:cNvPr id="17" name="CuadroTexto 16">
              <a:extLst>
                <a:ext uri="{FF2B5EF4-FFF2-40B4-BE49-F238E27FC236}">
                  <a16:creationId xmlns:a16="http://schemas.microsoft.com/office/drawing/2014/main" xmlns:a14="http://schemas.microsoft.com/office/drawing/2010/main" xmlns="" id="{00000000-0008-0000-0300-000011000000}"/>
                </a:ext>
              </a:extLst>
            </xdr:cNvPr>
            <xdr:cNvSpPr txBox="1"/>
          </xdr:nvSpPr>
          <xdr:spPr>
            <a:xfrm>
              <a:off x="3052762" y="21588412"/>
              <a:ext cx="256127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𝐶𝑢𝑚𝑝𝑙𝑖𝑚𝑖𝑒𝑛𝑡𝑜 𝐼𝑃𝐴=</a:t>
              </a:r>
              <a:r>
                <a:rPr lang="es-MX" sz="1000" i="0">
                  <a:latin typeface="Cambria Math" panose="02040503050406030204" pitchFamily="18" charset="0"/>
                </a:rPr>
                <a:t>(</a:t>
              </a:r>
              <a:r>
                <a:rPr lang="es-MX" sz="1000" b="0" i="0">
                  <a:latin typeface="Cambria Math" panose="02040503050406030204" pitchFamily="18" charset="0"/>
                </a:rPr>
                <a:t>𝑉𝑎𝑙𝑜𝑟 𝑡𝑜𝑡𝑎𝑙 𝑑𝑒 𝑟𝑒𝑐𝑎𝑢𝑑𝑜)/(𝑉𝑎𝑙𝑜𝑟 𝑡𝑜𝑡𝑎𝑙 𝑖𝑛𝑔𝑟𝑒𝑠𝑜)</a:t>
              </a:r>
              <a:endParaRPr lang="es-MX" sz="1000"/>
            </a:p>
          </xdr:txBody>
        </xdr:sp>
      </mc:Fallback>
    </mc:AlternateContent>
    <xdr:clientData/>
  </xdr:oneCellAnchor>
  <xdr:oneCellAnchor>
    <xdr:from>
      <xdr:col>3</xdr:col>
      <xdr:colOff>366978</xdr:colOff>
      <xdr:row>16</xdr:row>
      <xdr:rowOff>900905</xdr:rowOff>
    </xdr:from>
    <xdr:ext cx="2491771" cy="156518"/>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 xmlns:a16="http://schemas.microsoft.com/office/drawing/2014/main" id="{00000000-0008-0000-0300-000012000000}"/>
                </a:ext>
              </a:extLst>
            </xdr:cNvPr>
            <xdr:cNvSpPr txBox="1"/>
          </xdr:nvSpPr>
          <xdr:spPr>
            <a:xfrm>
              <a:off x="3348303" y="23160830"/>
              <a:ext cx="2491771"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𝑃𝐸𝑇𝐼</m:t>
                    </m:r>
                    <m:r>
                      <a:rPr lang="es-MX" sz="1000" b="0" i="1">
                        <a:latin typeface="Cambria Math" panose="02040503050406030204" pitchFamily="18" charset="0"/>
                      </a:rPr>
                      <m:t>=</m:t>
                    </m:r>
                    <m:r>
                      <a:rPr lang="es-MX" sz="1000" b="0" i="1">
                        <a:latin typeface="Cambria Math" panose="02040503050406030204" pitchFamily="18" charset="0"/>
                      </a:rPr>
                      <m:t>𝑝𝑟𝑜𝑚𝑒𝑑𝑖𝑜</m:t>
                    </m:r>
                    <m:r>
                      <a:rPr lang="es-MX" sz="1000" b="0" i="1">
                        <a:latin typeface="Cambria Math" panose="02040503050406030204" pitchFamily="18" charset="0"/>
                      </a:rPr>
                      <m:t> (</m:t>
                    </m:r>
                    <m:r>
                      <a:rPr lang="es-MX" sz="1000" b="0" i="1">
                        <a:latin typeface="Cambria Math" panose="02040503050406030204" pitchFamily="18" charset="0"/>
                      </a:rPr>
                      <m:t>𝐹𝑢𝑛</m:t>
                    </m:r>
                    <m:r>
                      <a:rPr lang="es-MX" sz="1000" b="0" i="1">
                        <a:latin typeface="Cambria Math" panose="02040503050406030204" pitchFamily="18" charset="0"/>
                      </a:rPr>
                      <m:t>+</m:t>
                    </m:r>
                    <m:r>
                      <a:rPr lang="es-MX" sz="1000" b="0" i="1">
                        <a:latin typeface="Cambria Math" panose="02040503050406030204" pitchFamily="18" charset="0"/>
                      </a:rPr>
                      <m:t>𝑈𝑠</m:t>
                    </m:r>
                    <m:r>
                      <a:rPr lang="es-MX" sz="1000" b="0" i="1">
                        <a:latin typeface="Cambria Math" panose="02040503050406030204" pitchFamily="18" charset="0"/>
                      </a:rPr>
                      <m:t>+</m:t>
                    </m:r>
                    <m:r>
                      <a:rPr lang="es-MX" sz="1000" b="0" i="1">
                        <a:latin typeface="Cambria Math" panose="02040503050406030204" pitchFamily="18" charset="0"/>
                      </a:rPr>
                      <m:t>𝐷𝑖𝑠𝑝</m:t>
                    </m:r>
                    <m:r>
                      <a:rPr lang="es-MX" sz="1000" b="0" i="1">
                        <a:latin typeface="Cambria Math" panose="02040503050406030204" pitchFamily="18" charset="0"/>
                      </a:rPr>
                      <m:t>+</m:t>
                    </m:r>
                    <m:r>
                      <a:rPr lang="es-MX" sz="1000" b="0" i="1">
                        <a:latin typeface="Cambria Math" panose="02040503050406030204" pitchFamily="18" charset="0"/>
                      </a:rPr>
                      <m:t>𝐶𝑜𝑏</m:t>
                    </m:r>
                    <m:r>
                      <a:rPr lang="es-MX" sz="1000" b="0" i="1">
                        <a:latin typeface="Cambria Math" panose="02040503050406030204" pitchFamily="18" charset="0"/>
                      </a:rPr>
                      <m:t>)</m:t>
                    </m:r>
                  </m:oMath>
                </m:oMathPara>
              </a14:m>
              <a:endParaRPr lang="es-MX" sz="1000"/>
            </a:p>
          </xdr:txBody>
        </xdr:sp>
      </mc:Choice>
      <mc:Fallback xmlns="">
        <xdr:sp macro="" textlink="">
          <xdr:nvSpPr>
            <xdr:cNvPr id="18" name="CuadroTexto 17">
              <a:extLst>
                <a:ext uri="{FF2B5EF4-FFF2-40B4-BE49-F238E27FC236}">
                  <a16:creationId xmlns:a16="http://schemas.microsoft.com/office/drawing/2014/main" xmlns:a14="http://schemas.microsoft.com/office/drawing/2010/main" xmlns="" id="{00000000-0008-0000-0300-000012000000}"/>
                </a:ext>
              </a:extLst>
            </xdr:cNvPr>
            <xdr:cNvSpPr txBox="1"/>
          </xdr:nvSpPr>
          <xdr:spPr>
            <a:xfrm>
              <a:off x="3348303" y="23160830"/>
              <a:ext cx="2491771"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𝑃𝐸𝑇𝐼=𝑝𝑟𝑜𝑚𝑒𝑑𝑖𝑜 (𝐹𝑢𝑛+𝑈𝑠+𝐷𝑖𝑠𝑝+𝐶𝑜𝑏)</a:t>
              </a:r>
              <a:endParaRPr lang="es-MX" sz="1000"/>
            </a:p>
          </xdr:txBody>
        </xdr:sp>
      </mc:Fallback>
    </mc:AlternateContent>
    <xdr:clientData/>
  </xdr:oneCellAnchor>
  <xdr:oneCellAnchor>
    <xdr:from>
      <xdr:col>3</xdr:col>
      <xdr:colOff>385762</xdr:colOff>
      <xdr:row>17</xdr:row>
      <xdr:rowOff>2095500</xdr:rowOff>
    </xdr:from>
    <xdr:ext cx="2403735" cy="319190"/>
    <mc:AlternateContent xmlns:mc="http://schemas.openxmlformats.org/markup-compatibility/2006" xmlns:a14="http://schemas.microsoft.com/office/drawing/2010/main">
      <mc:Choice Requires="a14">
        <xdr:sp macro="" textlink="">
          <xdr:nvSpPr>
            <xdr:cNvPr id="19" name="CuadroTexto 18">
              <a:extLst>
                <a:ext uri="{FF2B5EF4-FFF2-40B4-BE49-F238E27FC236}">
                  <a16:creationId xmlns="" xmlns:a16="http://schemas.microsoft.com/office/drawing/2014/main" id="{00000000-0008-0000-0300-000013000000}"/>
                </a:ext>
              </a:extLst>
            </xdr:cNvPr>
            <xdr:cNvSpPr txBox="1"/>
          </xdr:nvSpPr>
          <xdr:spPr>
            <a:xfrm>
              <a:off x="3367087" y="26641425"/>
              <a:ext cx="2403735"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𝑃𝐺𝑇𝐻</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𝑒𝑗𝑒𝑐𝑢𝑡𝑎𝑑𝑎𝑠</m:t>
                        </m:r>
                      </m:num>
                      <m:den>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𝑝𝑟𝑜𝑔𝑟𝑎𝑚𝑎𝑑𝑎𝑠</m:t>
                        </m:r>
                        <m:r>
                          <a:rPr lang="es-MX" sz="1000" b="0" i="1">
                            <a:latin typeface="Cambria Math" panose="02040503050406030204" pitchFamily="18" charset="0"/>
                          </a:rPr>
                          <m:t> </m:t>
                        </m:r>
                      </m:den>
                    </m:f>
                    <m:r>
                      <a:rPr lang="es-MX" sz="1000" b="0" i="1">
                        <a:latin typeface="Cambria Math" panose="02040503050406030204" pitchFamily="18" charset="0"/>
                      </a:rPr>
                      <m:t>∗100</m:t>
                    </m:r>
                  </m:oMath>
                </m:oMathPara>
              </a14:m>
              <a:endParaRPr lang="es-MX" sz="1000"/>
            </a:p>
          </xdr:txBody>
        </xdr:sp>
      </mc:Choice>
      <mc:Fallback xmlns="">
        <xdr:sp macro="" textlink="">
          <xdr:nvSpPr>
            <xdr:cNvPr id="19" name="CuadroTexto 18">
              <a:extLst>
                <a:ext uri="{FF2B5EF4-FFF2-40B4-BE49-F238E27FC236}">
                  <a16:creationId xmlns:a16="http://schemas.microsoft.com/office/drawing/2014/main" xmlns:a14="http://schemas.microsoft.com/office/drawing/2010/main" xmlns="" id="{00000000-0008-0000-0300-000013000000}"/>
                </a:ext>
              </a:extLst>
            </xdr:cNvPr>
            <xdr:cNvSpPr txBox="1"/>
          </xdr:nvSpPr>
          <xdr:spPr>
            <a:xfrm>
              <a:off x="3367087" y="26641425"/>
              <a:ext cx="2403735"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𝑃𝐺𝑇𝐻=</a:t>
              </a:r>
              <a:r>
                <a:rPr lang="es-MX" sz="1000" i="0">
                  <a:latin typeface="Cambria Math" panose="02040503050406030204" pitchFamily="18" charset="0"/>
                </a:rPr>
                <a:t>(</a:t>
              </a:r>
              <a:r>
                <a:rPr lang="es-MX" sz="1000" b="0" i="0">
                  <a:latin typeface="Cambria Math" panose="02040503050406030204" pitchFamily="18" charset="0"/>
                </a:rPr>
                <a:t>𝐴𝑐𝑡𝑖𝑣𝑖𝑑𝑎𝑑𝑒𝑠 𝑒𝑗𝑒𝑐𝑢𝑡𝑎𝑑𝑎𝑠)/(𝐴𝑐𝑡𝑖𝑣𝑖𝑑𝑎𝑑𝑒𝑠 𝑝𝑟𝑜𝑔𝑟𝑎𝑚𝑎𝑑𝑎𝑠 )∗100</a:t>
              </a:r>
              <a:endParaRPr lang="es-MX" sz="1000"/>
            </a:p>
          </xdr:txBody>
        </xdr:sp>
      </mc:Fallback>
    </mc:AlternateContent>
    <xdr:clientData/>
  </xdr:oneCellAnchor>
  <xdr:oneCellAnchor>
    <xdr:from>
      <xdr:col>3</xdr:col>
      <xdr:colOff>364331</xdr:colOff>
      <xdr:row>18</xdr:row>
      <xdr:rowOff>514349</xdr:rowOff>
    </xdr:from>
    <xdr:ext cx="1842107" cy="172227"/>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 xmlns:a16="http://schemas.microsoft.com/office/drawing/2014/main" id="{00000000-0008-0000-0300-000014000000}"/>
                </a:ext>
              </a:extLst>
            </xdr:cNvPr>
            <xdr:cNvSpPr txBox="1"/>
          </xdr:nvSpPr>
          <xdr:spPr>
            <a:xfrm>
              <a:off x="3345656" y="30260924"/>
              <a:ext cx="184210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 </m:t>
                    </m:r>
                    <m:r>
                      <a:rPr lang="es-MX" sz="1100" b="0" i="1">
                        <a:latin typeface="Cambria Math" panose="02040503050406030204" pitchFamily="18" charset="0"/>
                      </a:rPr>
                      <m:t>𝑅𝑒𝑠𝑢𝑙𝑡𝑎𝑑𝑜𝑠</m:t>
                    </m:r>
                    <m:r>
                      <a:rPr lang="es-MX" sz="1100" b="0" i="1">
                        <a:latin typeface="Cambria Math" panose="02040503050406030204" pitchFamily="18" charset="0"/>
                      </a:rPr>
                      <m:t> </m:t>
                    </m:r>
                    <m:r>
                      <a:rPr lang="es-MX" sz="1100" b="0" i="1">
                        <a:latin typeface="Cambria Math" panose="02040503050406030204" pitchFamily="18" charset="0"/>
                      </a:rPr>
                      <m:t>𝑑𝑒</m:t>
                    </m:r>
                    <m:r>
                      <a:rPr lang="es-MX" sz="1100" b="0" i="1">
                        <a:latin typeface="Cambria Math" panose="02040503050406030204" pitchFamily="18" charset="0"/>
                      </a:rPr>
                      <m:t> </m:t>
                    </m:r>
                    <m:r>
                      <a:rPr lang="es-MX" sz="1100" b="0" i="1">
                        <a:latin typeface="Cambria Math" panose="02040503050406030204" pitchFamily="18" charset="0"/>
                      </a:rPr>
                      <m:t>𝑙𝑎</m:t>
                    </m:r>
                    <m:r>
                      <a:rPr lang="es-MX" sz="1100" b="0" i="1">
                        <a:latin typeface="Cambria Math" panose="02040503050406030204" pitchFamily="18" charset="0"/>
                      </a:rPr>
                      <m:t> </m:t>
                    </m:r>
                    <m:r>
                      <a:rPr lang="es-MX" sz="1100" b="0" i="1">
                        <a:latin typeface="Cambria Math" panose="02040503050406030204" pitchFamily="18" charset="0"/>
                      </a:rPr>
                      <m:t>𝑒𝑛𝑐𝑢𝑒𝑠𝑡𝑎</m:t>
                    </m:r>
                  </m:oMath>
                </m:oMathPara>
              </a14:m>
              <a:endParaRPr lang="es-MX" sz="1100"/>
            </a:p>
          </xdr:txBody>
        </xdr:sp>
      </mc:Choice>
      <mc:Fallback xmlns="">
        <xdr:sp macro="" textlink="">
          <xdr:nvSpPr>
            <xdr:cNvPr id="20" name="CuadroTexto 19">
              <a:extLst>
                <a:ext uri="{FF2B5EF4-FFF2-40B4-BE49-F238E27FC236}">
                  <a16:creationId xmlns:a16="http://schemas.microsoft.com/office/drawing/2014/main" xmlns:a14="http://schemas.microsoft.com/office/drawing/2010/main" xmlns="" id="{00000000-0008-0000-0300-000014000000}"/>
                </a:ext>
              </a:extLst>
            </xdr:cNvPr>
            <xdr:cNvSpPr txBox="1"/>
          </xdr:nvSpPr>
          <xdr:spPr>
            <a:xfrm>
              <a:off x="3345656" y="30260924"/>
              <a:ext cx="184210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 𝑅𝑒𝑠𝑢𝑙𝑡𝑎𝑑𝑜𝑠 𝑑𝑒 𝑙𝑎 𝑒𝑛𝑐𝑢𝑒𝑠𝑡𝑎</a:t>
              </a:r>
              <a:endParaRPr lang="es-MX" sz="1100"/>
            </a:p>
          </xdr:txBody>
        </xdr:sp>
      </mc:Fallback>
    </mc:AlternateContent>
    <xdr:clientData/>
  </xdr:oneCellAnchor>
  <xdr:oneCellAnchor>
    <xdr:from>
      <xdr:col>3</xdr:col>
      <xdr:colOff>197644</xdr:colOff>
      <xdr:row>19</xdr:row>
      <xdr:rowOff>207168</xdr:rowOff>
    </xdr:from>
    <xdr:ext cx="2608214" cy="315086"/>
    <mc:AlternateContent xmlns:mc="http://schemas.openxmlformats.org/markup-compatibility/2006" xmlns:a14="http://schemas.microsoft.com/office/drawing/2010/main">
      <mc:Choice Requires="a14">
        <xdr:sp macro="" textlink="">
          <xdr:nvSpPr>
            <xdr:cNvPr id="21" name="CuadroTexto 20">
              <a:extLst>
                <a:ext uri="{FF2B5EF4-FFF2-40B4-BE49-F238E27FC236}">
                  <a16:creationId xmlns="" xmlns:a16="http://schemas.microsoft.com/office/drawing/2014/main" id="{00000000-0008-0000-0300-000015000000}"/>
                </a:ext>
              </a:extLst>
            </xdr:cNvPr>
            <xdr:cNvSpPr txBox="1"/>
          </xdr:nvSpPr>
          <xdr:spPr>
            <a:xfrm>
              <a:off x="3178969" y="35154393"/>
              <a:ext cx="2608214" cy="315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𝑇</m:t>
                    </m:r>
                    <m:r>
                      <a:rPr lang="es-MX" sz="1000" b="0" i="1">
                        <a:latin typeface="Cambria Math" panose="02040503050406030204" pitchFamily="18" charset="0"/>
                      </a:rPr>
                      <m:t> </m:t>
                    </m:r>
                    <m:r>
                      <a:rPr lang="es-MX" sz="1000" b="0" i="1">
                        <a:latin typeface="Cambria Math" panose="02040503050406030204" pitchFamily="18" charset="0"/>
                      </a:rPr>
                      <m:t>𝑎𝑡𝑒𝑛𝑐𝑖</m:t>
                    </m:r>
                    <m:r>
                      <a:rPr lang="es-MX" sz="1000" b="0" i="1">
                        <a:latin typeface="Cambria Math" panose="02040503050406030204" pitchFamily="18" charset="0"/>
                      </a:rPr>
                      <m:t>ó</m:t>
                    </m:r>
                    <m:r>
                      <a:rPr lang="es-MX" sz="1000" b="0" i="1">
                        <a:latin typeface="Cambria Math" panose="02040503050406030204" pitchFamily="18" charset="0"/>
                      </a:rPr>
                      <m:t>𝑛</m:t>
                    </m:r>
                    <m:r>
                      <a:rPr lang="es-MX" sz="1000" b="0" i="1">
                        <a:latin typeface="Cambria Math" panose="02040503050406030204" pitchFamily="18" charset="0"/>
                      </a:rPr>
                      <m:t> </m:t>
                    </m:r>
                    <m:r>
                      <a:rPr lang="es-MX" sz="1000" b="0" i="1">
                        <a:latin typeface="Cambria Math" panose="02040503050406030204" pitchFamily="18" charset="0"/>
                      </a:rPr>
                      <m:t>𝑝𝑟𝑜𝑚𝑒𝑑𝑖𝑜</m:t>
                    </m:r>
                    <m:r>
                      <a:rPr lang="es-MX" sz="1000" b="0" i="1">
                        <a:latin typeface="Cambria Math" panose="02040503050406030204" pitchFamily="18" charset="0"/>
                      </a:rPr>
                      <m:t>=</m:t>
                    </m:r>
                    <m:f>
                      <m:fPr>
                        <m:ctrlPr>
                          <a:rPr lang="es-MX" sz="1000" b="0" i="1">
                            <a:latin typeface="Cambria Math" panose="02040503050406030204" pitchFamily="18" charset="0"/>
                          </a:rPr>
                        </m:ctrlPr>
                      </m:fPr>
                      <m:num>
                        <m:r>
                          <a:rPr lang="es-MX" sz="1000" b="0" i="1">
                            <a:latin typeface="Cambria Math" panose="02040503050406030204" pitchFamily="18" charset="0"/>
                          </a:rPr>
                          <m:t>𝑄𝑅</m:t>
                        </m:r>
                        <m:func>
                          <m:funcPr>
                            <m:ctrlPr>
                              <a:rPr lang="es-MX" sz="1000" b="0" i="1">
                                <a:latin typeface="Cambria Math" panose="02040503050406030204" pitchFamily="18" charset="0"/>
                              </a:rPr>
                            </m:ctrlPr>
                          </m:funcPr>
                          <m:fName>
                            <m:r>
                              <m:rPr>
                                <m:sty m:val="p"/>
                              </m:rPr>
                              <a:rPr lang="es-MX" sz="1000" b="0" i="0">
                                <a:latin typeface="Cambria Math" panose="02040503050406030204" pitchFamily="18" charset="0"/>
                              </a:rPr>
                              <m:t>sin</m:t>
                            </m:r>
                          </m:fName>
                          <m:e>
                            <m:r>
                              <a:rPr lang="es-MX" sz="1000" b="0" i="1">
                                <a:latin typeface="Cambria Math" panose="02040503050406030204" pitchFamily="18" charset="0"/>
                              </a:rPr>
                              <m:t>𝑎𝑡𝑒𝑛𝑑𝑒𝑟</m:t>
                            </m:r>
                          </m:e>
                        </m:func>
                      </m:num>
                      <m:den>
                        <m:r>
                          <a:rPr lang="es-MX" sz="1000" b="0" i="1">
                            <a:latin typeface="Cambria Math" panose="02040503050406030204" pitchFamily="18" charset="0"/>
                          </a:rPr>
                          <m:t>𝑃𝑟𝑜𝑚𝑒𝑑𝑖𝑜</m:t>
                        </m:r>
                        <m:r>
                          <a:rPr lang="es-MX" sz="1000" b="0" i="1">
                            <a:latin typeface="Cambria Math" panose="02040503050406030204" pitchFamily="18" charset="0"/>
                          </a:rPr>
                          <m:t> </m:t>
                        </m:r>
                        <m:r>
                          <a:rPr lang="es-MX" sz="1000" b="0" i="1">
                            <a:latin typeface="Cambria Math" panose="02040503050406030204" pitchFamily="18" charset="0"/>
                          </a:rPr>
                          <m:t>𝑄𝑅</m:t>
                        </m:r>
                        <m:r>
                          <a:rPr lang="es-MX" sz="1000" b="0" i="1">
                            <a:latin typeface="Cambria Math" panose="02040503050406030204" pitchFamily="18" charset="0"/>
                          </a:rPr>
                          <m:t> </m:t>
                        </m:r>
                        <m:r>
                          <a:rPr lang="es-MX" sz="1000" b="0" i="1">
                            <a:latin typeface="Cambria Math" panose="02040503050406030204" pitchFamily="18" charset="0"/>
                          </a:rPr>
                          <m:t>𝑑𝑖𝑎𝑟𝑖𝑎𝑠</m:t>
                        </m:r>
                      </m:den>
                    </m:f>
                  </m:oMath>
                </m:oMathPara>
              </a14:m>
              <a:endParaRPr lang="es-MX" sz="1000"/>
            </a:p>
          </xdr:txBody>
        </xdr:sp>
      </mc:Choice>
      <mc:Fallback xmlns="">
        <xdr:sp macro="" textlink="">
          <xdr:nvSpPr>
            <xdr:cNvPr id="21" name="CuadroTexto 20">
              <a:extLst>
                <a:ext uri="{FF2B5EF4-FFF2-40B4-BE49-F238E27FC236}">
                  <a16:creationId xmlns:a16="http://schemas.microsoft.com/office/drawing/2014/main" xmlns:a14="http://schemas.microsoft.com/office/drawing/2010/main" xmlns="" id="{00000000-0008-0000-0300-000015000000}"/>
                </a:ext>
              </a:extLst>
            </xdr:cNvPr>
            <xdr:cNvSpPr txBox="1"/>
          </xdr:nvSpPr>
          <xdr:spPr>
            <a:xfrm>
              <a:off x="3178969" y="35154393"/>
              <a:ext cx="2608214" cy="315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𝑇 𝑎𝑡𝑒𝑛𝑐𝑖ó𝑛 𝑝𝑟𝑜𝑚𝑒𝑑𝑖𝑜=(𝑄𝑅 sin⁡𝑎𝑡𝑒𝑛𝑑𝑒𝑟)/(𝑃𝑟𝑜𝑚𝑒𝑑𝑖𝑜 𝑄𝑅 𝑑𝑖𝑎𝑟𝑖𝑎𝑠)</a:t>
              </a:r>
              <a:endParaRPr lang="es-MX" sz="1000"/>
            </a:p>
          </xdr:txBody>
        </xdr:sp>
      </mc:Fallback>
    </mc:AlternateContent>
    <xdr:clientData/>
  </xdr:oneCellAnchor>
  <xdr:oneCellAnchor>
    <xdr:from>
      <xdr:col>3</xdr:col>
      <xdr:colOff>549011</xdr:colOff>
      <xdr:row>20</xdr:row>
      <xdr:rowOff>633412</xdr:rowOff>
    </xdr:from>
    <xdr:ext cx="1678280" cy="318100"/>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 xmlns:a16="http://schemas.microsoft.com/office/drawing/2014/main" id="{00000000-0008-0000-0300-000016000000}"/>
                </a:ext>
              </a:extLst>
            </xdr:cNvPr>
            <xdr:cNvSpPr txBox="1"/>
          </xdr:nvSpPr>
          <xdr:spPr>
            <a:xfrm>
              <a:off x="3530336" y="37237987"/>
              <a:ext cx="1678280"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𝑃𝐺𝐷</m:t>
                    </m:r>
                    <m:r>
                      <a:rPr lang="es-MX" sz="1000" b="0" i="1">
                        <a:latin typeface="Cambria Math" panose="02040503050406030204" pitchFamily="18" charset="0"/>
                      </a:rPr>
                      <m:t>=</m:t>
                    </m:r>
                    <m:f>
                      <m:fPr>
                        <m:ctrlPr>
                          <a:rPr lang="es-MX" sz="1000" b="0" i="1">
                            <a:latin typeface="Cambria Math" panose="02040503050406030204" pitchFamily="18" charset="0"/>
                          </a:rPr>
                        </m:ctrlPr>
                      </m:fPr>
                      <m:num>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𝑟𝑒𝑎𝑙𝑖𝑧𝑎𝑑𝑎</m:t>
                        </m:r>
                      </m:num>
                      <m:den>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𝑝𝑟𝑜𝑝𝑢𝑒𝑠𝑡𝑎</m:t>
                        </m:r>
                      </m:den>
                    </m:f>
                    <m:r>
                      <a:rPr lang="es-MX" sz="1000" b="0" i="1">
                        <a:latin typeface="Cambria Math" panose="02040503050406030204" pitchFamily="18" charset="0"/>
                      </a:rPr>
                      <m:t>∗100</m:t>
                    </m:r>
                  </m:oMath>
                </m:oMathPara>
              </a14:m>
              <a:endParaRPr lang="es-MX" sz="1000"/>
            </a:p>
          </xdr:txBody>
        </xdr:sp>
      </mc:Choice>
      <mc:Fallback xmlns="">
        <xdr:sp macro="" textlink="">
          <xdr:nvSpPr>
            <xdr:cNvPr id="22" name="CuadroTexto 21">
              <a:extLst>
                <a:ext uri="{FF2B5EF4-FFF2-40B4-BE49-F238E27FC236}">
                  <a16:creationId xmlns:a16="http://schemas.microsoft.com/office/drawing/2014/main" xmlns:a14="http://schemas.microsoft.com/office/drawing/2010/main" xmlns="" id="{00000000-0008-0000-0300-000016000000}"/>
                </a:ext>
              </a:extLst>
            </xdr:cNvPr>
            <xdr:cNvSpPr txBox="1"/>
          </xdr:nvSpPr>
          <xdr:spPr>
            <a:xfrm>
              <a:off x="3530336" y="37237987"/>
              <a:ext cx="1678280"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𝑃𝐺𝐷=(𝐹𝑎𝑠𝑒 𝑟𝑒𝑎𝑙𝑖𝑧𝑎𝑑𝑎)/(𝐹𝑎𝑠𝑒 𝑝𝑟𝑜𝑝𝑢𝑒𝑠𝑡𝑎)∗100</a:t>
              </a:r>
              <a:endParaRPr lang="es-MX" sz="1000"/>
            </a:p>
          </xdr:txBody>
        </xdr:sp>
      </mc:Fallback>
    </mc:AlternateContent>
    <xdr:clientData/>
  </xdr:oneCellAnchor>
  <xdr:oneCellAnchor>
    <xdr:from>
      <xdr:col>3</xdr:col>
      <xdr:colOff>559594</xdr:colOff>
      <xdr:row>21</xdr:row>
      <xdr:rowOff>476250</xdr:rowOff>
    </xdr:from>
    <xdr:ext cx="1559722" cy="318100"/>
    <mc:AlternateContent xmlns:mc="http://schemas.openxmlformats.org/markup-compatibility/2006" xmlns:a14="http://schemas.microsoft.com/office/drawing/2010/main">
      <mc:Choice Requires="a14">
        <xdr:sp macro="" textlink="">
          <xdr:nvSpPr>
            <xdr:cNvPr id="23" name="CuadroTexto 22">
              <a:extLst>
                <a:ext uri="{FF2B5EF4-FFF2-40B4-BE49-F238E27FC236}">
                  <a16:creationId xmlns="" xmlns:a16="http://schemas.microsoft.com/office/drawing/2014/main" id="{00000000-0008-0000-0300-000017000000}"/>
                </a:ext>
              </a:extLst>
            </xdr:cNvPr>
            <xdr:cNvSpPr txBox="1"/>
          </xdr:nvSpPr>
          <xdr:spPr>
            <a:xfrm>
              <a:off x="3540919" y="38309550"/>
              <a:ext cx="1559722"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𝑅𝐼</m:t>
                    </m:r>
                    <m:r>
                      <a:rPr lang="es-MX" sz="1000" b="0" i="1">
                        <a:latin typeface="Cambria Math" panose="02040503050406030204" pitchFamily="18" charset="0"/>
                      </a:rPr>
                      <m:t>=</m:t>
                    </m:r>
                    <m:f>
                      <m:fPr>
                        <m:ctrlPr>
                          <a:rPr lang="es-MX" sz="1000" b="0" i="1">
                            <a:latin typeface="Cambria Math" panose="02040503050406030204" pitchFamily="18" charset="0"/>
                          </a:rPr>
                        </m:ctrlPr>
                      </m:fPr>
                      <m:num>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𝑟𝑒𝑎𝑙𝑖𝑧𝑎𝑑𝑎</m:t>
                        </m:r>
                      </m:num>
                      <m:den>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𝑝𝑟𝑜𝑝𝑢𝑒𝑠𝑡𝑎</m:t>
                        </m:r>
                      </m:den>
                    </m:f>
                    <m:r>
                      <a:rPr lang="es-MX" sz="1000" b="0" i="1">
                        <a:latin typeface="Cambria Math" panose="02040503050406030204" pitchFamily="18" charset="0"/>
                      </a:rPr>
                      <m:t>∗100</m:t>
                    </m:r>
                  </m:oMath>
                </m:oMathPara>
              </a14:m>
              <a:endParaRPr lang="es-MX" sz="1000"/>
            </a:p>
          </xdr:txBody>
        </xdr:sp>
      </mc:Choice>
      <mc:Fallback xmlns="">
        <xdr:sp macro="" textlink="">
          <xdr:nvSpPr>
            <xdr:cNvPr id="23" name="CuadroTexto 22">
              <a:extLst>
                <a:ext uri="{FF2B5EF4-FFF2-40B4-BE49-F238E27FC236}">
                  <a16:creationId xmlns:a16="http://schemas.microsoft.com/office/drawing/2014/main" xmlns:a14="http://schemas.microsoft.com/office/drawing/2010/main" xmlns="" id="{00000000-0008-0000-0300-000017000000}"/>
                </a:ext>
              </a:extLst>
            </xdr:cNvPr>
            <xdr:cNvSpPr txBox="1"/>
          </xdr:nvSpPr>
          <xdr:spPr>
            <a:xfrm>
              <a:off x="3540919" y="38309550"/>
              <a:ext cx="1559722"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𝑅𝐼=(𝐹𝑎𝑠𝑒 𝑟𝑒𝑎𝑙𝑖𝑧𝑎𝑑𝑎)/(𝐹𝑎𝑠𝑒 𝑝𝑟𝑜𝑝𝑢𝑒𝑠𝑡𝑎)∗100</a:t>
              </a:r>
              <a:endParaRPr lang="es-MX" sz="1000"/>
            </a:p>
          </xdr:txBody>
        </xdr:sp>
      </mc:Fallback>
    </mc:AlternateContent>
    <xdr:clientData/>
  </xdr:oneCellAnchor>
  <xdr:oneCellAnchor>
    <xdr:from>
      <xdr:col>3</xdr:col>
      <xdr:colOff>498740</xdr:colOff>
      <xdr:row>22</xdr:row>
      <xdr:rowOff>348985</xdr:rowOff>
    </xdr:from>
    <xdr:ext cx="1700978" cy="318100"/>
    <mc:AlternateContent xmlns:mc="http://schemas.openxmlformats.org/markup-compatibility/2006" xmlns:a14="http://schemas.microsoft.com/office/drawing/2010/main">
      <mc:Choice Requires="a14">
        <xdr:sp macro="" textlink="">
          <xdr:nvSpPr>
            <xdr:cNvPr id="24" name="CuadroTexto 23">
              <a:extLst>
                <a:ext uri="{FF2B5EF4-FFF2-40B4-BE49-F238E27FC236}">
                  <a16:creationId xmlns="" xmlns:a16="http://schemas.microsoft.com/office/drawing/2014/main" id="{00000000-0008-0000-0300-000018000000}"/>
                </a:ext>
              </a:extLst>
            </xdr:cNvPr>
            <xdr:cNvSpPr txBox="1"/>
          </xdr:nvSpPr>
          <xdr:spPr>
            <a:xfrm>
              <a:off x="3480065" y="39249085"/>
              <a:ext cx="1700978"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𝐶𝐼𝐸𝑆</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𝑟𝑒𝑎𝑙𝑖𝑧𝑎𝑑𝑎</m:t>
                        </m:r>
                      </m:num>
                      <m:den>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𝑝𝑟𝑜𝑝𝑢𝑒𝑠𝑡𝑎</m:t>
                        </m:r>
                      </m:den>
                    </m:f>
                    <m:r>
                      <a:rPr lang="es-MX" sz="1000" b="0" i="1">
                        <a:latin typeface="Cambria Math" panose="02040503050406030204" pitchFamily="18" charset="0"/>
                      </a:rPr>
                      <m:t>∗100</m:t>
                    </m:r>
                  </m:oMath>
                </m:oMathPara>
              </a14:m>
              <a:endParaRPr lang="es-MX" sz="1000"/>
            </a:p>
          </xdr:txBody>
        </xdr:sp>
      </mc:Choice>
      <mc:Fallback xmlns="">
        <xdr:sp macro="" textlink="">
          <xdr:nvSpPr>
            <xdr:cNvPr id="24" name="CuadroTexto 23">
              <a:extLst>
                <a:ext uri="{FF2B5EF4-FFF2-40B4-BE49-F238E27FC236}">
                  <a16:creationId xmlns:a16="http://schemas.microsoft.com/office/drawing/2014/main" xmlns:a14="http://schemas.microsoft.com/office/drawing/2010/main" xmlns="" id="{00000000-0008-0000-0300-000018000000}"/>
                </a:ext>
              </a:extLst>
            </xdr:cNvPr>
            <xdr:cNvSpPr txBox="1"/>
          </xdr:nvSpPr>
          <xdr:spPr>
            <a:xfrm>
              <a:off x="3480065" y="39249085"/>
              <a:ext cx="1700978"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𝐶𝐼𝐸𝑆=</a:t>
              </a:r>
              <a:r>
                <a:rPr lang="es-MX" sz="1000" i="0">
                  <a:latin typeface="Cambria Math" panose="02040503050406030204" pitchFamily="18" charset="0"/>
                </a:rPr>
                <a:t>(</a:t>
              </a:r>
              <a:r>
                <a:rPr lang="es-MX" sz="1000" b="0" i="0">
                  <a:latin typeface="Cambria Math" panose="02040503050406030204" pitchFamily="18" charset="0"/>
                </a:rPr>
                <a:t>𝐹𝑎𝑠𝑒 𝑟𝑒𝑎𝑙𝑖𝑧𝑎𝑑𝑎)/(𝐹𝑎𝑠𝑒 𝑝𝑟𝑜𝑝𝑢𝑒𝑠𝑡𝑎)∗100</a:t>
              </a:r>
              <a:endParaRPr lang="es-MX" sz="1000"/>
            </a:p>
          </xdr:txBody>
        </xdr:sp>
      </mc:Fallback>
    </mc:AlternateContent>
    <xdr:clientData/>
  </xdr:oneCellAnchor>
  <xdr:oneCellAnchor>
    <xdr:from>
      <xdr:col>3</xdr:col>
      <xdr:colOff>167217</xdr:colOff>
      <xdr:row>2</xdr:row>
      <xdr:rowOff>744982</xdr:rowOff>
    </xdr:from>
    <xdr:ext cx="1793760" cy="156518"/>
    <mc:AlternateContent xmlns:mc="http://schemas.openxmlformats.org/markup-compatibility/2006" xmlns:a14="http://schemas.microsoft.com/office/drawing/2010/main">
      <mc:Choice Requires="a14">
        <xdr:sp macro="" textlink="">
          <xdr:nvSpPr>
            <xdr:cNvPr id="25" name="CuadroTexto 24">
              <a:extLst>
                <a:ext uri="{FF2B5EF4-FFF2-40B4-BE49-F238E27FC236}">
                  <a16:creationId xmlns="" xmlns:a16="http://schemas.microsoft.com/office/drawing/2014/main" id="{00000000-0008-0000-0300-000019000000}"/>
                </a:ext>
              </a:extLst>
            </xdr:cNvPr>
            <xdr:cNvSpPr txBox="1"/>
          </xdr:nvSpPr>
          <xdr:spPr>
            <a:xfrm>
              <a:off x="3148542" y="1687957"/>
              <a:ext cx="1793760"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14:m>
                <m:oMathPara xmlns:m="http://schemas.openxmlformats.org/officeDocument/2006/math">
                  <m:oMathParaPr>
                    <m:jc m:val="center"/>
                  </m:oMathParaPr>
                  <m:oMath xmlns:m="http://schemas.openxmlformats.org/officeDocument/2006/math">
                    <m:r>
                      <a:rPr lang="es-MX" sz="1000" i="1">
                        <a:latin typeface="Cambria Math" panose="02040503050406030204" pitchFamily="18" charset="0"/>
                      </a:rPr>
                      <m:t>∑ </m:t>
                    </m:r>
                    <m:r>
                      <a:rPr lang="es-MX" sz="1000" i="1">
                        <a:latin typeface="Cambria Math" panose="02040503050406030204" pitchFamily="18" charset="0"/>
                      </a:rPr>
                      <m:t>𝐸𝑚𝑝𝑟𝑒𝑠𝑎𝑠</m:t>
                    </m:r>
                    <m:r>
                      <a:rPr lang="es-MX" sz="1000" i="1">
                        <a:latin typeface="Cambria Math" panose="02040503050406030204" pitchFamily="18" charset="0"/>
                      </a:rPr>
                      <m:t> </m:t>
                    </m:r>
                    <m:r>
                      <a:rPr lang="es-MX" sz="1000" i="1">
                        <a:latin typeface="Cambria Math" panose="02040503050406030204" pitchFamily="18" charset="0"/>
                      </a:rPr>
                      <m:t>𝑐𝑜𝑛</m:t>
                    </m:r>
                    <m:r>
                      <a:rPr lang="es-MX" sz="1000" i="1">
                        <a:latin typeface="Cambria Math" panose="02040503050406030204" pitchFamily="18" charset="0"/>
                      </a:rPr>
                      <m:t> </m:t>
                    </m:r>
                    <m:r>
                      <a:rPr lang="es-MX" sz="1000" i="1">
                        <a:latin typeface="Cambria Math" panose="02040503050406030204" pitchFamily="18" charset="0"/>
                      </a:rPr>
                      <m:t>𝑆𝑀𝑆</m:t>
                    </m:r>
                    <m:r>
                      <a:rPr lang="es-MX" sz="1000" i="1">
                        <a:latin typeface="Cambria Math" panose="02040503050406030204" pitchFamily="18" charset="0"/>
                      </a:rPr>
                      <m:t> </m:t>
                    </m:r>
                    <m:r>
                      <a:rPr lang="es-MX" sz="1000" i="1">
                        <a:latin typeface="Cambria Math" panose="02040503050406030204" pitchFamily="18" charset="0"/>
                      </a:rPr>
                      <m:t>𝑒𝑛</m:t>
                    </m:r>
                    <m:r>
                      <a:rPr lang="es-MX" sz="1000" i="1">
                        <a:latin typeface="Cambria Math" panose="02040503050406030204" pitchFamily="18" charset="0"/>
                      </a:rPr>
                      <m:t> </m:t>
                    </m:r>
                    <m:r>
                      <a:rPr lang="es-MX" sz="1000" i="1">
                        <a:latin typeface="Cambria Math" panose="02040503050406030204" pitchFamily="18" charset="0"/>
                      </a:rPr>
                      <m:t>𝑓𝑎𝑠𝑒</m:t>
                    </m:r>
                    <m:r>
                      <a:rPr lang="es-MX" sz="1000" i="1">
                        <a:latin typeface="Cambria Math" panose="02040503050406030204" pitchFamily="18" charset="0"/>
                      </a:rPr>
                      <m:t> 4</m:t>
                    </m:r>
                  </m:oMath>
                </m:oMathPara>
              </a14:m>
              <a:endParaRPr lang="es-MX" sz="1000"/>
            </a:p>
          </xdr:txBody>
        </xdr:sp>
      </mc:Choice>
      <mc:Fallback xmlns="">
        <xdr:sp macro="" textlink="">
          <xdr:nvSpPr>
            <xdr:cNvPr id="25" name="CuadroTexto 24">
              <a:extLst>
                <a:ext uri="{FF2B5EF4-FFF2-40B4-BE49-F238E27FC236}">
                  <a16:creationId xmlns:a16="http://schemas.microsoft.com/office/drawing/2014/main" xmlns:a14="http://schemas.microsoft.com/office/drawing/2010/main" xmlns="" id="{00000000-0008-0000-0300-000019000000}"/>
                </a:ext>
              </a:extLst>
            </xdr:cNvPr>
            <xdr:cNvSpPr txBox="1"/>
          </xdr:nvSpPr>
          <xdr:spPr>
            <a:xfrm>
              <a:off x="3148542" y="1687957"/>
              <a:ext cx="1793760"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r>
                <a:rPr lang="es-MX" sz="1000" i="0">
                  <a:latin typeface="Cambria Math" panose="02040503050406030204" pitchFamily="18" charset="0"/>
                </a:rPr>
                <a:t>∑ 𝐸𝑚𝑝𝑟𝑒𝑠𝑎𝑠 𝑐𝑜𝑛 𝑆𝑀𝑆 𝑒𝑛 𝑓𝑎𝑠𝑒 4</a:t>
              </a:r>
              <a:endParaRPr lang="es-MX" sz="1000"/>
            </a:p>
          </xdr:txBody>
        </xdr:sp>
      </mc:Fallback>
    </mc:AlternateContent>
    <xdr:clientData/>
  </xdr:oneCellAnchor>
  <xdr:twoCellAnchor>
    <xdr:from>
      <xdr:col>3</xdr:col>
      <xdr:colOff>479689</xdr:colOff>
      <xdr:row>8</xdr:row>
      <xdr:rowOff>323584</xdr:rowOff>
    </xdr:from>
    <xdr:to>
      <xdr:col>3</xdr:col>
      <xdr:colOff>2387041</xdr:colOff>
      <xdr:row>8</xdr:row>
      <xdr:rowOff>1079500</xdr:rowOff>
    </xdr:to>
    <xdr:grpSp>
      <xdr:nvGrpSpPr>
        <xdr:cNvPr id="26" name="Grupo 25">
          <a:extLst>
            <a:ext uri="{FF2B5EF4-FFF2-40B4-BE49-F238E27FC236}">
              <a16:creationId xmlns="" xmlns:a16="http://schemas.microsoft.com/office/drawing/2014/main" id="{00000000-0008-0000-0300-00001A000000}"/>
            </a:ext>
          </a:extLst>
        </xdr:cNvPr>
        <xdr:cNvGrpSpPr/>
      </xdr:nvGrpSpPr>
      <xdr:grpSpPr>
        <a:xfrm>
          <a:off x="3231356" y="15341334"/>
          <a:ext cx="1907352" cy="755916"/>
          <a:chOff x="4876800" y="7777162"/>
          <a:chExt cx="1907352" cy="445672"/>
        </a:xfrm>
      </xdr:grpSpPr>
      <mc:AlternateContent xmlns:mc="http://schemas.openxmlformats.org/markup-compatibility/2006" xmlns:a14="http://schemas.microsoft.com/office/drawing/2010/main">
        <mc:Choice Requires="a14">
          <xdr:sp macro="" textlink="">
            <xdr:nvSpPr>
              <xdr:cNvPr id="27" name="CuadroTexto 26">
                <a:extLst>
                  <a:ext uri="{FF2B5EF4-FFF2-40B4-BE49-F238E27FC236}">
                    <a16:creationId xmlns="" xmlns:a16="http://schemas.microsoft.com/office/drawing/2014/main" id="{00000000-0008-0000-0300-00001B000000}"/>
                  </a:ext>
                </a:extLst>
              </xdr:cNvPr>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m:rPr>
                          <m:nor/>
                        </m:rPr>
                        <a:rPr lang="es-MX" sz="900">
                          <a:solidFill>
                            <a:schemeClr val="tx1"/>
                          </a:solidFill>
                          <a:effectLst/>
                          <a:latin typeface="+mn-lt"/>
                          <a:ea typeface="+mn-ea"/>
                          <a:cs typeface="+mn-cs"/>
                        </a:rPr>
                        <m:t> </m:t>
                      </m:r>
                      <m:r>
                        <m:rPr>
                          <m:nor/>
                        </m:rPr>
                        <a:rPr lang="es-MX" sz="900">
                          <a:solidFill>
                            <a:schemeClr val="tx1"/>
                          </a:solidFill>
                          <a:effectLst/>
                          <a:latin typeface="+mn-lt"/>
                          <a:ea typeface="+mn-ea"/>
                          <a:cs typeface="+mn-cs"/>
                        </a:rPr>
                        <m:t>Combustible</m:t>
                      </m:r>
                      <m:r>
                        <m:rPr>
                          <m:nor/>
                        </m:rPr>
                        <a:rPr lang="es-MX" sz="900">
                          <a:solidFill>
                            <a:schemeClr val="tx1"/>
                          </a:solidFill>
                          <a:effectLst/>
                          <a:latin typeface="+mn-lt"/>
                          <a:ea typeface="+mn-ea"/>
                          <a:cs typeface="+mn-cs"/>
                        </a:rPr>
                        <m:t>)</m:t>
                      </m:r>
                    </m:oMath>
                  </m:oMathPara>
                </a14:m>
                <a:endParaRPr lang="es-MX" sz="900"/>
              </a:p>
            </xdr:txBody>
          </xdr:sp>
        </mc:Choice>
        <mc:Fallback xmlns="">
          <xdr:sp macro="" textlink="">
            <xdr:nvSpPr>
              <xdr:cNvPr id="27" name="CuadroTexto 26">
                <a:extLst>
                  <a:ext uri="{FF2B5EF4-FFF2-40B4-BE49-F238E27FC236}">
                    <a16:creationId xmlns:a16="http://schemas.microsoft.com/office/drawing/2014/main" xmlns:a14="http://schemas.microsoft.com/office/drawing/2010/main" xmlns="" id="{00000000-0008-0000-0300-00001B000000}"/>
                  </a:ext>
                </a:extLst>
              </xdr:cNvPr>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a:t>
                </a:r>
                <a:r>
                  <a:rPr lang="es-MX" sz="900" i="0">
                    <a:solidFill>
                      <a:schemeClr val="tx1"/>
                    </a:solidFill>
                    <a:effectLst/>
                    <a:latin typeface="Cambria Math" panose="02040503050406030204" pitchFamily="18" charset="0"/>
                    <a:ea typeface="+mn-ea"/>
                    <a:cs typeface="+mn-cs"/>
                  </a:rPr>
                  <a:t> Combustible)</a:t>
                </a:r>
                <a:r>
                  <a:rPr lang="es-CO" sz="900" i="0">
                    <a:solidFill>
                      <a:schemeClr val="tx1"/>
                    </a:solidFill>
                    <a:effectLst/>
                    <a:latin typeface="+mn-lt"/>
                    <a:ea typeface="+mn-ea"/>
                    <a:cs typeface="+mn-cs"/>
                  </a:rPr>
                  <a:t>"</a:t>
                </a:r>
                <a:endParaRPr lang="es-MX" sz="900"/>
              </a:p>
            </xdr:txBody>
          </xdr:sp>
        </mc:Fallback>
      </mc:AlternateContent>
      <mc:AlternateContent xmlns:mc="http://schemas.openxmlformats.org/markup-compatibility/2006" xmlns:a14="http://schemas.microsoft.com/office/drawing/2010/main">
        <mc:Choice Requires="a14">
          <xdr:sp macro="" textlink="">
            <xdr:nvSpPr>
              <xdr:cNvPr id="28" name="CuadroTexto 27">
                <a:extLst>
                  <a:ext uri="{FF2B5EF4-FFF2-40B4-BE49-F238E27FC236}">
                    <a16:creationId xmlns="" xmlns:a16="http://schemas.microsoft.com/office/drawing/2014/main" id="{00000000-0008-0000-0300-00001C000000}"/>
                  </a:ext>
                </a:extLst>
              </xdr:cNvPr>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𝐸𝐸𝑇</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𝐴𝐸𝐸𝑇</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28" name="CuadroTexto 27">
                <a:extLst>
                  <a:ext uri="{FF2B5EF4-FFF2-40B4-BE49-F238E27FC236}">
                    <a16:creationId xmlns:a16="http://schemas.microsoft.com/office/drawing/2014/main" xmlns:a14="http://schemas.microsoft.com/office/drawing/2010/main" xmlns="" id="{00000000-0008-0000-0300-00001C000000}"/>
                  </a:ext>
                </a:extLst>
              </xdr:cNvPr>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(𝐸𝐸𝑇 −𝐴𝐸𝐸𝑇)</a:t>
                </a:r>
                <a:endParaRPr lang="es-MX" sz="900"/>
              </a:p>
            </xdr:txBody>
          </xdr:sp>
        </mc:Fallback>
      </mc:AlternateContent>
      <mc:AlternateContent xmlns:mc="http://schemas.openxmlformats.org/markup-compatibility/2006" xmlns:a14="http://schemas.microsoft.com/office/drawing/2010/main">
        <mc:Choice Requires="a14">
          <xdr:sp macro="" textlink="">
            <xdr:nvSpPr>
              <xdr:cNvPr id="29" name="CuadroTexto 28">
                <a:extLst>
                  <a:ext uri="{FF2B5EF4-FFF2-40B4-BE49-F238E27FC236}">
                    <a16:creationId xmlns="" xmlns:a16="http://schemas.microsoft.com/office/drawing/2014/main" id="{00000000-0008-0000-0300-00001D000000}"/>
                  </a:ext>
                </a:extLst>
              </xdr:cNvPr>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 </m:t>
                          </m:r>
                          <m:r>
                            <a:rPr lang="es-MX" sz="900" b="0" i="1">
                              <a:latin typeface="Cambria Math" panose="02040503050406030204" pitchFamily="18" charset="0"/>
                            </a:rPr>
                            <m:t>𝐶𝑂</m:t>
                          </m:r>
                          <m:r>
                            <a:rPr lang="es-MX" sz="900" b="0" i="1">
                              <a:latin typeface="Cambria Math" panose="02040503050406030204" pitchFamily="18" charset="0"/>
                            </a:rPr>
                            <m:t>2</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𝑡𝑒𝑜𝑟𝑖𝑐𝑜</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𝑟𝑒𝑎𝑙</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29" name="CuadroTexto 28">
                <a:extLst>
                  <a:ext uri="{FF2B5EF4-FFF2-40B4-BE49-F238E27FC236}">
                    <a16:creationId xmlns:a16="http://schemas.microsoft.com/office/drawing/2014/main" xmlns:a14="http://schemas.microsoft.com/office/drawing/2010/main" xmlns="" id="{00000000-0008-0000-0300-00001D000000}"/>
                  </a:ext>
                </a:extLst>
              </xdr:cNvPr>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 𝐶𝑂2)=</a:t>
                </a:r>
                <a:r>
                  <a:rPr lang="es-MX" sz="900" b="0" i="0">
                    <a:solidFill>
                      <a:schemeClr val="tx1"/>
                    </a:solidFill>
                    <a:effectLst/>
                    <a:latin typeface="Cambria Math" panose="02040503050406030204" pitchFamily="18" charset="0"/>
                    <a:ea typeface="+mn-ea"/>
                    <a:cs typeface="+mn-cs"/>
                  </a:rPr>
                  <a:t>(𝐶𝑂2 𝑡𝑒𝑜𝑟𝑖𝑐𝑜 −𝐶𝑂2 𝑟𝑒𝑎𝑙)</a:t>
                </a:r>
                <a:endParaRPr lang="es-MX" sz="900"/>
              </a:p>
            </xdr:txBody>
          </xdr:sp>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ista%20de%20compra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JECUCION%20MINISTERIO%20DEL%20INTERIOR%2013%20ABRIL.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NASAKIWE-Junio-de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ista de hortalizas"/>
      <sheetName val="Cálculos"/>
      <sheetName val="Lista de compra1"/>
      <sheetName val="Lista%20de%20compra1"/>
    </sheetNames>
    <sheetDataSet>
      <sheetData sheetId="0"/>
      <sheetData sheetId="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Apropiación"/>
      <sheetName val="Compromisos"/>
      <sheetName val="Graficos"/>
      <sheetName val="DIRJURIDICA"/>
      <sheetName val="INFRAESTRUCTURA"/>
      <sheetName val="GAS GEN"/>
      <sheetName val="OFISISTEMAS"/>
      <sheetName val="SECREGRAL"/>
      <sheetName val="AFROS"/>
      <sheetName val="INDIGENAS"/>
      <sheetName val="DEMOCRACIA"/>
      <sheetName val="GOBERNABI"/>
      <sheetName val="CONSULPREVIA"/>
      <sheetName val="DERHUMANOS"/>
      <sheetName val="Reporte"/>
      <sheetName val="TOTAL"/>
      <sheetName val="GAS_GEN"/>
    </sheetNames>
    <sheetDataSet>
      <sheetData sheetId="0">
        <row r="2">
          <cell r="A2" t="str">
            <v>COOPERACION</v>
          </cell>
          <cell r="D2" t="str">
            <v>Inversión</v>
          </cell>
          <cell r="E2" t="str">
            <v>Vice Ministerio Interior</v>
          </cell>
          <cell r="F2" t="str">
            <v>Si</v>
          </cell>
          <cell r="G2" t="str">
            <v>Ene</v>
          </cell>
          <cell r="I2" t="str">
            <v>Gastos de Personal</v>
          </cell>
          <cell r="L2">
            <v>1</v>
          </cell>
          <cell r="M2">
            <v>2010</v>
          </cell>
        </row>
        <row r="3">
          <cell r="A3" t="str">
            <v>DACN</v>
          </cell>
          <cell r="D3" t="str">
            <v>Funcionamiento</v>
          </cell>
          <cell r="E3" t="str">
            <v>Vice Ministerio Justicia</v>
          </cell>
          <cell r="G3" t="str">
            <v>Feb</v>
          </cell>
          <cell r="I3" t="str">
            <v>Gastos Generales</v>
          </cell>
          <cell r="L3">
            <v>2</v>
          </cell>
          <cell r="M3">
            <v>2011</v>
          </cell>
        </row>
        <row r="4">
          <cell r="A4" t="str">
            <v>DAI</v>
          </cell>
          <cell r="E4" t="str">
            <v>Secretaría General</v>
          </cell>
          <cell r="G4" t="str">
            <v>Mar</v>
          </cell>
          <cell r="I4" t="str">
            <v>Transferencias</v>
          </cell>
          <cell r="L4">
            <v>3</v>
          </cell>
          <cell r="M4">
            <v>2012</v>
          </cell>
        </row>
        <row r="5">
          <cell r="A5" t="str">
            <v>DAJ</v>
          </cell>
          <cell r="G5" t="str">
            <v>Abr</v>
          </cell>
          <cell r="I5" t="str">
            <v>Inversión</v>
          </cell>
          <cell r="L5">
            <v>4</v>
          </cell>
          <cell r="M5">
            <v>2013</v>
          </cell>
        </row>
        <row r="6">
          <cell r="A6" t="str">
            <v>DDPC</v>
          </cell>
          <cell r="G6" t="str">
            <v>May</v>
          </cell>
          <cell r="L6">
            <v>5</v>
          </cell>
          <cell r="M6">
            <v>2014</v>
          </cell>
        </row>
        <row r="7">
          <cell r="A7" t="str">
            <v>DGR</v>
          </cell>
          <cell r="G7" t="str">
            <v>Jun</v>
          </cell>
          <cell r="L7">
            <v>6</v>
          </cell>
          <cell r="M7">
            <v>2015</v>
          </cell>
        </row>
        <row r="8">
          <cell r="A8" t="str">
            <v>DGT</v>
          </cell>
          <cell r="G8" t="str">
            <v>Jul</v>
          </cell>
          <cell r="L8">
            <v>7</v>
          </cell>
          <cell r="M8">
            <v>2016</v>
          </cell>
        </row>
        <row r="9">
          <cell r="A9" t="str">
            <v>DHH</v>
          </cell>
          <cell r="G9" t="str">
            <v>Ago</v>
          </cell>
          <cell r="L9">
            <v>8</v>
          </cell>
        </row>
        <row r="10">
          <cell r="A10" t="str">
            <v>DIJ</v>
          </cell>
          <cell r="G10" t="str">
            <v>Sep</v>
          </cell>
          <cell r="L10">
            <v>9</v>
          </cell>
        </row>
        <row r="11">
          <cell r="A11" t="str">
            <v>DIN</v>
          </cell>
          <cell r="G11" t="str">
            <v>Oct</v>
          </cell>
          <cell r="L11">
            <v>10</v>
          </cell>
        </row>
        <row r="12">
          <cell r="A12" t="str">
            <v>DJE</v>
          </cell>
          <cell r="G12" t="str">
            <v>Nov</v>
          </cell>
          <cell r="L12">
            <v>11</v>
          </cell>
        </row>
        <row r="13">
          <cell r="A13" t="str">
            <v>DJFD</v>
          </cell>
          <cell r="G13" t="str">
            <v>Dic</v>
          </cell>
          <cell r="L13">
            <v>12</v>
          </cell>
        </row>
        <row r="14">
          <cell r="A14" t="str">
            <v>DJT</v>
          </cell>
          <cell r="L14">
            <v>13</v>
          </cell>
        </row>
        <row r="15">
          <cell r="A15" t="str">
            <v>DNDA</v>
          </cell>
          <cell r="L15">
            <v>14</v>
          </cell>
        </row>
        <row r="16">
          <cell r="A16" t="str">
            <v>DNE</v>
          </cell>
          <cell r="L16">
            <v>15</v>
          </cell>
        </row>
        <row r="17">
          <cell r="A17" t="str">
            <v>DOJ</v>
          </cell>
          <cell r="L17">
            <v>16</v>
          </cell>
        </row>
        <row r="18">
          <cell r="A18" t="str">
            <v>DPCP</v>
          </cell>
          <cell r="L18">
            <v>17</v>
          </cell>
        </row>
        <row r="19">
          <cell r="A19" t="str">
            <v>DPLD</v>
          </cell>
          <cell r="L19">
            <v>18</v>
          </cell>
        </row>
        <row r="20">
          <cell r="A20" t="str">
            <v>FPFD</v>
          </cell>
          <cell r="L20">
            <v>19</v>
          </cell>
        </row>
        <row r="21">
          <cell r="A21" t="str">
            <v>GGA</v>
          </cell>
          <cell r="L21">
            <v>20</v>
          </cell>
        </row>
        <row r="22">
          <cell r="A22" t="str">
            <v>GCP</v>
          </cell>
        </row>
        <row r="23">
          <cell r="A23" t="str">
            <v>GGH</v>
          </cell>
          <cell r="L23">
            <v>21</v>
          </cell>
        </row>
        <row r="24">
          <cell r="A24" t="str">
            <v>IMPRENTA</v>
          </cell>
          <cell r="L24">
            <v>22</v>
          </cell>
        </row>
        <row r="25">
          <cell r="A25" t="str">
            <v>INPEC</v>
          </cell>
          <cell r="L25">
            <v>23</v>
          </cell>
        </row>
        <row r="26">
          <cell r="A26" t="str">
            <v>NASAKIWE</v>
          </cell>
          <cell r="L26">
            <v>24</v>
          </cell>
        </row>
        <row r="27">
          <cell r="A27" t="str">
            <v>OAL</v>
          </cell>
          <cell r="L27">
            <v>25</v>
          </cell>
        </row>
        <row r="28">
          <cell r="A28" t="str">
            <v>OAP</v>
          </cell>
          <cell r="L28">
            <v>26</v>
          </cell>
        </row>
        <row r="29">
          <cell r="A29" t="str">
            <v>OIP</v>
          </cell>
        </row>
        <row r="30">
          <cell r="A30" t="str">
            <v>OCI</v>
          </cell>
          <cell r="L30">
            <v>27</v>
          </cell>
        </row>
        <row r="31">
          <cell r="A31" t="str">
            <v>ORGINT</v>
          </cell>
          <cell r="L31">
            <v>28</v>
          </cell>
        </row>
        <row r="32">
          <cell r="A32" t="str">
            <v>OSI</v>
          </cell>
          <cell r="L32">
            <v>29</v>
          </cell>
        </row>
        <row r="33">
          <cell r="A33" t="str">
            <v>Programa</v>
          </cell>
          <cell r="L33">
            <v>30</v>
          </cell>
        </row>
        <row r="34">
          <cell r="A34" t="str">
            <v>SECGRAL</v>
          </cell>
          <cell r="L34">
            <v>31</v>
          </cell>
        </row>
        <row r="35">
          <cell r="A35" t="str">
            <v>SNR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Dependencia o entidad"/>
    </sheetNames>
    <sheetDataSet>
      <sheetData sheetId="0">
        <row r="2">
          <cell r="L2">
            <v>40209</v>
          </cell>
        </row>
        <row r="3">
          <cell r="L3">
            <v>40237</v>
          </cell>
        </row>
        <row r="4">
          <cell r="L4">
            <v>40268</v>
          </cell>
        </row>
        <row r="5">
          <cell r="L5">
            <v>40298</v>
          </cell>
        </row>
        <row r="6">
          <cell r="L6">
            <v>40329</v>
          </cell>
        </row>
        <row r="7">
          <cell r="L7">
            <v>40359</v>
          </cell>
        </row>
        <row r="8">
          <cell r="L8">
            <v>40390</v>
          </cell>
        </row>
        <row r="9">
          <cell r="L9">
            <v>40421</v>
          </cell>
        </row>
        <row r="10">
          <cell r="L10">
            <v>40451</v>
          </cell>
        </row>
        <row r="11">
          <cell r="L11">
            <v>40482</v>
          </cell>
        </row>
        <row r="12">
          <cell r="L12">
            <v>40512</v>
          </cell>
        </row>
        <row r="13">
          <cell r="L13">
            <v>40543</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sheetPr>
  <dimension ref="A1:V53"/>
  <sheetViews>
    <sheetView tabSelected="1" workbookViewId="0">
      <pane xSplit="2" ySplit="6" topLeftCell="L40" activePane="bottomRight" state="frozen"/>
      <selection pane="topRight" activeCell="D1" sqref="D1"/>
      <selection pane="bottomLeft" activeCell="A6" sqref="A6"/>
      <selection pane="bottomRight" activeCell="N53" sqref="N53:P53"/>
    </sheetView>
  </sheetViews>
  <sheetFormatPr baseColWidth="10" defaultRowHeight="11.25" x14ac:dyDescent="0.25"/>
  <cols>
    <col min="1" max="1" width="11.42578125" style="9" customWidth="1"/>
    <col min="2" max="2" width="25.28515625" style="60" customWidth="1"/>
    <col min="3" max="3" width="11.140625" style="9" hidden="1" customWidth="1"/>
    <col min="4" max="4" width="11.5703125" style="11" hidden="1" customWidth="1"/>
    <col min="5" max="5" width="5.140625" style="10" hidden="1" customWidth="1"/>
    <col min="6" max="6" width="11" style="11" hidden="1" customWidth="1"/>
    <col min="7" max="7" width="5.140625" style="10" hidden="1" customWidth="1"/>
    <col min="8" max="8" width="14.140625" style="11" hidden="1" customWidth="1"/>
    <col min="9" max="9" width="8.140625" style="10" hidden="1" customWidth="1"/>
    <col min="10" max="10" width="14.140625" style="11" hidden="1" customWidth="1"/>
    <col min="11" max="11" width="8" style="10" hidden="1" customWidth="1"/>
    <col min="12" max="18" width="11.42578125" style="9"/>
    <col min="19" max="19" width="11.7109375" style="9" bestFit="1" customWidth="1"/>
    <col min="20" max="20" width="11.42578125" style="9"/>
    <col min="21" max="21" width="17" style="9" customWidth="1"/>
    <col min="22" max="22" width="0" style="9" hidden="1" customWidth="1"/>
    <col min="23" max="16384" width="11.42578125" style="9"/>
  </cols>
  <sheetData>
    <row r="1" spans="1:22" ht="15" customHeight="1" x14ac:dyDescent="0.25">
      <c r="A1" s="33" t="s">
        <v>83</v>
      </c>
      <c r="Q1" s="155"/>
    </row>
    <row r="2" spans="1:22" ht="15" customHeight="1" x14ac:dyDescent="0.25">
      <c r="A2" s="33" t="s">
        <v>84</v>
      </c>
    </row>
    <row r="3" spans="1:22" ht="15" customHeight="1" thickBot="1" x14ac:dyDescent="0.3"/>
    <row r="4" spans="1:22" s="4" customFormat="1" ht="24.75" customHeight="1" thickTop="1" thickBot="1" x14ac:dyDescent="0.3">
      <c r="A4" s="165" t="s">
        <v>78</v>
      </c>
      <c r="B4" s="166" t="s">
        <v>0</v>
      </c>
      <c r="C4" s="163" t="s">
        <v>272</v>
      </c>
      <c r="D4" s="163"/>
      <c r="E4" s="163"/>
      <c r="F4" s="163"/>
      <c r="G4" s="163"/>
      <c r="H4" s="164" t="s">
        <v>273</v>
      </c>
      <c r="I4" s="163"/>
      <c r="J4" s="163"/>
      <c r="K4" s="163"/>
      <c r="L4" s="163" t="s">
        <v>327</v>
      </c>
      <c r="M4" s="163"/>
      <c r="N4" s="163"/>
      <c r="O4" s="163"/>
      <c r="P4" s="163"/>
      <c r="Q4" s="164" t="s">
        <v>330</v>
      </c>
      <c r="R4" s="163"/>
      <c r="S4" s="163"/>
      <c r="T4" s="163"/>
    </row>
    <row r="5" spans="1:22" s="4" customFormat="1" ht="24.75" customHeight="1" thickTop="1" thickBot="1" x14ac:dyDescent="0.3">
      <c r="A5" s="165"/>
      <c r="B5" s="166"/>
      <c r="C5" s="2" t="s">
        <v>89</v>
      </c>
      <c r="D5" s="2" t="s">
        <v>79</v>
      </c>
      <c r="E5" s="3" t="s">
        <v>80</v>
      </c>
      <c r="F5" s="2" t="s">
        <v>81</v>
      </c>
      <c r="G5" s="3" t="s">
        <v>80</v>
      </c>
      <c r="H5" s="24" t="s">
        <v>79</v>
      </c>
      <c r="I5" s="3" t="s">
        <v>80</v>
      </c>
      <c r="J5" s="2" t="s">
        <v>81</v>
      </c>
      <c r="K5" s="3" t="s">
        <v>80</v>
      </c>
      <c r="L5" s="2" t="s">
        <v>89</v>
      </c>
      <c r="M5" s="2" t="s">
        <v>79</v>
      </c>
      <c r="N5" s="3" t="s">
        <v>80</v>
      </c>
      <c r="O5" s="2" t="s">
        <v>81</v>
      </c>
      <c r="P5" s="3" t="s">
        <v>80</v>
      </c>
      <c r="Q5" s="24" t="s">
        <v>79</v>
      </c>
      <c r="R5" s="3" t="s">
        <v>80</v>
      </c>
      <c r="S5" s="2" t="s">
        <v>81</v>
      </c>
      <c r="T5" s="3" t="s">
        <v>80</v>
      </c>
    </row>
    <row r="6" spans="1:22" s="1" customFormat="1" ht="23.25" thickTop="1" x14ac:dyDescent="0.25">
      <c r="A6" s="110"/>
      <c r="B6" s="111" t="s">
        <v>82</v>
      </c>
      <c r="C6" s="27">
        <f>+C7+C15+C27</f>
        <v>568980</v>
      </c>
      <c r="D6" s="5">
        <f>+D7+D15+D27</f>
        <v>338527.86612653005</v>
      </c>
      <c r="E6" s="6">
        <f>+D6/C6</f>
        <v>0.59497322599481539</v>
      </c>
      <c r="F6" s="5">
        <f>+F7+F15+F27</f>
        <v>114317.40670173999</v>
      </c>
      <c r="G6" s="7">
        <f>+F6/C6</f>
        <v>0.20091638845256424</v>
      </c>
      <c r="H6" s="8">
        <f>+H7+H15+H27</f>
        <v>483415.04666699999</v>
      </c>
      <c r="I6" s="6"/>
      <c r="J6" s="5">
        <f>+J7+J15+J27</f>
        <v>247454.53484744002</v>
      </c>
      <c r="K6" s="7"/>
      <c r="L6" s="27">
        <f>+L7+L15+L27</f>
        <v>489824.4686759999</v>
      </c>
      <c r="M6" s="5">
        <f>+M7+M15+M27</f>
        <v>470760.55615597998</v>
      </c>
      <c r="N6" s="6">
        <f>+M6/L6</f>
        <v>0.96108011392009496</v>
      </c>
      <c r="O6" s="5">
        <f>+O7+O15+O27</f>
        <v>272629.00753159</v>
      </c>
      <c r="P6" s="7">
        <f>+O6/L6</f>
        <v>0.55658511357856166</v>
      </c>
      <c r="Q6" s="8">
        <f>+Q7+Q15+Q27</f>
        <v>488322.79313599999</v>
      </c>
      <c r="R6" s="6">
        <f>Q6/L6</f>
        <v>0.99693425780860034</v>
      </c>
      <c r="S6" s="5">
        <f>+S7+S15+S27</f>
        <v>481886.04101099999</v>
      </c>
      <c r="T6" s="6">
        <f>S6/L6</f>
        <v>0.98379332154137267</v>
      </c>
      <c r="U6" s="156"/>
      <c r="V6" s="156">
        <f>Q6-S6</f>
        <v>6436.7521249999991</v>
      </c>
    </row>
    <row r="7" spans="1:22" s="1" customFormat="1" ht="26.25" customHeight="1" x14ac:dyDescent="0.25">
      <c r="A7" s="99"/>
      <c r="B7" s="112" t="s">
        <v>85</v>
      </c>
      <c r="C7" s="28">
        <f>SUM(C8:C14)</f>
        <v>356940</v>
      </c>
      <c r="D7" s="17">
        <f>SUM(D8:D14)</f>
        <v>188556.20859129002</v>
      </c>
      <c r="E7" s="18">
        <f t="shared" ref="E7:E51" si="0">+D7/C7</f>
        <v>0.52825743427828209</v>
      </c>
      <c r="F7" s="17">
        <f>SUM(F8:F14)</f>
        <v>56639.792970739996</v>
      </c>
      <c r="G7" s="29">
        <f t="shared" ref="G7:G51" si="1">+F7/C7</f>
        <v>0.1586815514392895</v>
      </c>
      <c r="H7" s="117">
        <f>SUM(H8:H14)</f>
        <v>318159.08999999997</v>
      </c>
      <c r="I7" s="18"/>
      <c r="J7" s="17">
        <f>SUM(J8:J14)</f>
        <v>143011.08675200003</v>
      </c>
      <c r="K7" s="29"/>
      <c r="L7" s="28">
        <f>SUM(L8:L14)</f>
        <v>297907.75068199995</v>
      </c>
      <c r="M7" s="17">
        <f>SUM(M8:M14)</f>
        <v>290563.17641194002</v>
      </c>
      <c r="N7" s="18">
        <f t="shared" ref="N7:N43" si="2">+M7/L7</f>
        <v>0.97534614573388567</v>
      </c>
      <c r="O7" s="17">
        <f>SUM(O8:O14)</f>
        <v>129881.81915959001</v>
      </c>
      <c r="P7" s="29">
        <f t="shared" ref="P7:P31" si="3">+O7/L7</f>
        <v>0.43597999334442183</v>
      </c>
      <c r="Q7" s="117">
        <f>SUM(Q8:Q14)</f>
        <v>297907.75068199995</v>
      </c>
      <c r="R7" s="18">
        <f t="shared" ref="R7:R52" si="4">Q7/L7</f>
        <v>1</v>
      </c>
      <c r="S7" s="17">
        <f>SUM(S8:S14)</f>
        <v>297907.75068199995</v>
      </c>
      <c r="T7" s="18">
        <f t="shared" ref="T7:T52" si="5">S7/L7</f>
        <v>1</v>
      </c>
      <c r="U7" s="156"/>
      <c r="V7" s="156">
        <f t="shared" ref="V7:V52" si="6">Q7-S7</f>
        <v>0</v>
      </c>
    </row>
    <row r="8" spans="1:22" ht="33.75" x14ac:dyDescent="0.25">
      <c r="A8" s="100" t="s">
        <v>2</v>
      </c>
      <c r="B8" s="113" t="s">
        <v>90</v>
      </c>
      <c r="C8" s="30">
        <v>209737</v>
      </c>
      <c r="D8" s="19">
        <v>119574.87944107001</v>
      </c>
      <c r="E8" s="20">
        <f t="shared" si="0"/>
        <v>0.57011819298011324</v>
      </c>
      <c r="F8" s="19">
        <v>41756.950315000002</v>
      </c>
      <c r="G8" s="22">
        <f t="shared" si="1"/>
        <v>0.19909195952550099</v>
      </c>
      <c r="H8" s="25">
        <v>196446</v>
      </c>
      <c r="I8" s="20">
        <v>0.93663016062974103</v>
      </c>
      <c r="J8" s="19">
        <v>79770.457920000001</v>
      </c>
      <c r="K8" s="22">
        <v>0.38033564855032731</v>
      </c>
      <c r="L8" s="30">
        <f>146919.741632+29306.5</f>
        <v>176226.24163199999</v>
      </c>
      <c r="M8" s="19">
        <f>145909.029225+29306.5</f>
        <v>175215.52922500001</v>
      </c>
      <c r="N8" s="20">
        <f t="shared" si="2"/>
        <v>0.99426468840485982</v>
      </c>
      <c r="O8" s="19">
        <v>78019.230834999995</v>
      </c>
      <c r="P8" s="22">
        <f t="shared" si="3"/>
        <v>0.44272198120142453</v>
      </c>
      <c r="Q8" s="30">
        <f>146919.741632+29306.5</f>
        <v>176226.24163199999</v>
      </c>
      <c r="R8" s="20">
        <f t="shared" si="4"/>
        <v>1</v>
      </c>
      <c r="S8" s="19">
        <v>176226.24163199999</v>
      </c>
      <c r="T8" s="20">
        <f t="shared" si="5"/>
        <v>1</v>
      </c>
      <c r="U8" s="156"/>
      <c r="V8" s="156">
        <f t="shared" si="6"/>
        <v>0</v>
      </c>
    </row>
    <row r="9" spans="1:22" ht="45" x14ac:dyDescent="0.25">
      <c r="A9" s="101" t="s">
        <v>4</v>
      </c>
      <c r="B9" s="113" t="s">
        <v>91</v>
      </c>
      <c r="C9" s="30">
        <v>10703</v>
      </c>
      <c r="D9" s="19">
        <v>268.23123600000002</v>
      </c>
      <c r="E9" s="20">
        <f t="shared" si="0"/>
        <v>2.5061313276651408E-2</v>
      </c>
      <c r="F9" s="19">
        <v>0</v>
      </c>
      <c r="G9" s="22">
        <f t="shared" si="1"/>
        <v>0</v>
      </c>
      <c r="H9" s="25">
        <v>2403</v>
      </c>
      <c r="I9" s="20">
        <v>0.22451649070354107</v>
      </c>
      <c r="J9" s="19">
        <v>1201.5</v>
      </c>
      <c r="K9" s="22">
        <v>0.11225824535177054</v>
      </c>
      <c r="L9" s="30">
        <v>3157.8634440000001</v>
      </c>
      <c r="M9" s="19">
        <v>1150.8330639999999</v>
      </c>
      <c r="N9" s="20">
        <f t="shared" si="2"/>
        <v>0.36443408158975477</v>
      </c>
      <c r="O9" s="19">
        <v>264.98264399999999</v>
      </c>
      <c r="P9" s="22">
        <f t="shared" si="3"/>
        <v>8.3912002117593781E-2</v>
      </c>
      <c r="Q9" s="25">
        <v>3157.8634440000001</v>
      </c>
      <c r="R9" s="20">
        <f t="shared" si="4"/>
        <v>1</v>
      </c>
      <c r="S9" s="19">
        <v>3157.8634440000001</v>
      </c>
      <c r="T9" s="20">
        <f t="shared" si="5"/>
        <v>1</v>
      </c>
      <c r="U9" s="156"/>
      <c r="V9" s="156">
        <f t="shared" si="6"/>
        <v>0</v>
      </c>
    </row>
    <row r="10" spans="1:22" ht="33.75" x14ac:dyDescent="0.25">
      <c r="A10" s="101" t="s">
        <v>6</v>
      </c>
      <c r="B10" s="113" t="s">
        <v>7</v>
      </c>
      <c r="C10" s="30">
        <v>4500</v>
      </c>
      <c r="D10" s="19">
        <v>2501.4656258</v>
      </c>
      <c r="E10" s="20">
        <f t="shared" si="0"/>
        <v>0.55588125017777779</v>
      </c>
      <c r="F10" s="19">
        <v>525.30621499999995</v>
      </c>
      <c r="G10" s="22">
        <f t="shared" si="1"/>
        <v>0.11673471444444443</v>
      </c>
      <c r="H10" s="25">
        <v>2250</v>
      </c>
      <c r="I10" s="20">
        <v>0.5</v>
      </c>
      <c r="J10" s="19">
        <v>1350</v>
      </c>
      <c r="K10" s="22">
        <v>0.3</v>
      </c>
      <c r="L10" s="30">
        <v>4500</v>
      </c>
      <c r="M10" s="19">
        <v>3754.7046900100004</v>
      </c>
      <c r="N10" s="20">
        <f t="shared" si="2"/>
        <v>0.8343788200022223</v>
      </c>
      <c r="O10" s="19">
        <v>3451.5629330100001</v>
      </c>
      <c r="P10" s="22">
        <f t="shared" si="3"/>
        <v>0.7670139851133333</v>
      </c>
      <c r="Q10" s="25">
        <v>4500</v>
      </c>
      <c r="R10" s="20">
        <f t="shared" si="4"/>
        <v>1</v>
      </c>
      <c r="S10" s="19">
        <v>4500</v>
      </c>
      <c r="T10" s="20">
        <f t="shared" si="5"/>
        <v>1</v>
      </c>
      <c r="U10" s="156"/>
      <c r="V10" s="156">
        <f t="shared" si="6"/>
        <v>0</v>
      </c>
    </row>
    <row r="11" spans="1:22" ht="33.75" x14ac:dyDescent="0.25">
      <c r="A11" s="101" t="s">
        <v>8</v>
      </c>
      <c r="B11" s="113" t="s">
        <v>92</v>
      </c>
      <c r="C11" s="30">
        <v>6000</v>
      </c>
      <c r="D11" s="19">
        <v>3686.5440255600001</v>
      </c>
      <c r="E11" s="20">
        <f t="shared" si="0"/>
        <v>0.61442400425999999</v>
      </c>
      <c r="F11" s="19">
        <v>1731.006895</v>
      </c>
      <c r="G11" s="22">
        <f t="shared" si="1"/>
        <v>0.28850114916666664</v>
      </c>
      <c r="H11" s="25">
        <v>3000</v>
      </c>
      <c r="I11" s="20">
        <v>0.5</v>
      </c>
      <c r="J11" s="19">
        <v>1800</v>
      </c>
      <c r="K11" s="22">
        <v>0.3</v>
      </c>
      <c r="L11" s="30">
        <v>5775.3935860000001</v>
      </c>
      <c r="M11" s="19">
        <v>5148.9095582399996</v>
      </c>
      <c r="N11" s="20">
        <f t="shared" si="2"/>
        <v>0.89152531019208003</v>
      </c>
      <c r="O11" s="19">
        <v>4170.3688776999998</v>
      </c>
      <c r="P11" s="22">
        <f t="shared" si="3"/>
        <v>0.72209258392524034</v>
      </c>
      <c r="Q11" s="25">
        <v>5775.3935860000001</v>
      </c>
      <c r="R11" s="20">
        <f t="shared" si="4"/>
        <v>1</v>
      </c>
      <c r="S11" s="19">
        <v>5775.3935860000001</v>
      </c>
      <c r="T11" s="20">
        <f t="shared" si="5"/>
        <v>1</v>
      </c>
      <c r="U11" s="156"/>
      <c r="V11" s="156">
        <f t="shared" si="6"/>
        <v>0</v>
      </c>
    </row>
    <row r="12" spans="1:22" ht="33.75" x14ac:dyDescent="0.25">
      <c r="A12" s="101" t="s">
        <v>10</v>
      </c>
      <c r="B12" s="113" t="s">
        <v>93</v>
      </c>
      <c r="C12" s="30">
        <v>96000</v>
      </c>
      <c r="D12" s="19">
        <v>52130.325794949997</v>
      </c>
      <c r="E12" s="20">
        <f t="shared" si="0"/>
        <v>0.54302422703072917</v>
      </c>
      <c r="F12" s="19">
        <v>8420.9975498299991</v>
      </c>
      <c r="G12" s="22">
        <f t="shared" si="1"/>
        <v>8.7718724477395829E-2</v>
      </c>
      <c r="H12" s="25">
        <v>84360.09</v>
      </c>
      <c r="I12" s="20">
        <v>0.8787509375</v>
      </c>
      <c r="J12" s="19">
        <v>43272.624487000001</v>
      </c>
      <c r="K12" s="22">
        <v>0.45075650507291665</v>
      </c>
      <c r="L12" s="30">
        <v>86370.889339999994</v>
      </c>
      <c r="M12" s="19">
        <v>84128.014486529995</v>
      </c>
      <c r="N12" s="20">
        <f t="shared" si="2"/>
        <v>0.97403205095363909</v>
      </c>
      <c r="O12" s="19">
        <v>35830.645078720001</v>
      </c>
      <c r="P12" s="22">
        <f t="shared" si="3"/>
        <v>0.4148463139898011</v>
      </c>
      <c r="Q12" s="25">
        <v>86370.889339999994</v>
      </c>
      <c r="R12" s="20">
        <f t="shared" si="4"/>
        <v>1</v>
      </c>
      <c r="S12" s="19">
        <v>86370.889339999994</v>
      </c>
      <c r="T12" s="20">
        <f t="shared" si="5"/>
        <v>1</v>
      </c>
      <c r="U12" s="156"/>
      <c r="V12" s="156">
        <f t="shared" si="6"/>
        <v>0</v>
      </c>
    </row>
    <row r="13" spans="1:22" ht="33.75" x14ac:dyDescent="0.25">
      <c r="A13" s="101" t="s">
        <v>12</v>
      </c>
      <c r="B13" s="113" t="s">
        <v>13</v>
      </c>
      <c r="C13" s="30">
        <v>20000</v>
      </c>
      <c r="D13" s="19">
        <v>10394.762467909999</v>
      </c>
      <c r="E13" s="20">
        <f t="shared" si="0"/>
        <v>0.51973812339549996</v>
      </c>
      <c r="F13" s="19">
        <v>4205.5319959099998</v>
      </c>
      <c r="G13" s="22">
        <f t="shared" si="1"/>
        <v>0.21027659979549998</v>
      </c>
      <c r="H13" s="25">
        <v>19700</v>
      </c>
      <c r="I13" s="20">
        <v>0.98499999999999999</v>
      </c>
      <c r="J13" s="19">
        <v>10616.504344000001</v>
      </c>
      <c r="K13" s="22">
        <v>0.53082521719999998</v>
      </c>
      <c r="L13" s="30">
        <v>11877.36268</v>
      </c>
      <c r="M13" s="19">
        <v>11591.59479116</v>
      </c>
      <c r="N13" s="20">
        <f t="shared" si="2"/>
        <v>0.97594012269060382</v>
      </c>
      <c r="O13" s="19">
        <v>8111.4299911600001</v>
      </c>
      <c r="P13" s="22">
        <f t="shared" si="3"/>
        <v>0.6829319108709746</v>
      </c>
      <c r="Q13" s="30">
        <v>11877.36268</v>
      </c>
      <c r="R13" s="20">
        <f t="shared" si="4"/>
        <v>1</v>
      </c>
      <c r="S13" s="19">
        <v>11877.36268</v>
      </c>
      <c r="T13" s="20">
        <f t="shared" si="5"/>
        <v>1</v>
      </c>
      <c r="U13" s="156"/>
      <c r="V13" s="156">
        <f t="shared" si="6"/>
        <v>0</v>
      </c>
    </row>
    <row r="14" spans="1:22" ht="56.25" x14ac:dyDescent="0.25">
      <c r="A14" s="101" t="s">
        <v>14</v>
      </c>
      <c r="B14" s="113" t="s">
        <v>15</v>
      </c>
      <c r="C14" s="30">
        <v>10000</v>
      </c>
      <c r="D14" s="19">
        <v>0</v>
      </c>
      <c r="E14" s="20">
        <f t="shared" si="0"/>
        <v>0</v>
      </c>
      <c r="F14" s="19">
        <v>0</v>
      </c>
      <c r="G14" s="22">
        <f t="shared" si="1"/>
        <v>0</v>
      </c>
      <c r="H14" s="25">
        <v>10000</v>
      </c>
      <c r="I14" s="20">
        <v>1</v>
      </c>
      <c r="J14" s="19">
        <v>5000.0000010000003</v>
      </c>
      <c r="K14" s="22">
        <v>0.50000000010000001</v>
      </c>
      <c r="L14" s="30">
        <v>10000</v>
      </c>
      <c r="M14" s="19">
        <v>9573.5905970000003</v>
      </c>
      <c r="N14" s="20">
        <f t="shared" si="2"/>
        <v>0.95735905970000001</v>
      </c>
      <c r="O14" s="19">
        <v>33.598799999999997</v>
      </c>
      <c r="P14" s="22">
        <f t="shared" si="3"/>
        <v>3.3598799999999996E-3</v>
      </c>
      <c r="Q14" s="30">
        <v>10000</v>
      </c>
      <c r="R14" s="20">
        <f t="shared" si="4"/>
        <v>1</v>
      </c>
      <c r="S14" s="19">
        <v>10000</v>
      </c>
      <c r="T14" s="20">
        <f t="shared" si="5"/>
        <v>1</v>
      </c>
      <c r="U14" s="156"/>
      <c r="V14" s="156">
        <f t="shared" si="6"/>
        <v>0</v>
      </c>
    </row>
    <row r="15" spans="1:22" s="1" customFormat="1" ht="33.75" x14ac:dyDescent="0.25">
      <c r="A15" s="99"/>
      <c r="B15" s="112" t="s">
        <v>94</v>
      </c>
      <c r="C15" s="28">
        <f>SUM(C16:C26)</f>
        <v>124411.72410600001</v>
      </c>
      <c r="D15" s="17">
        <f>SUM(D16:D26)</f>
        <v>79578.478151000003</v>
      </c>
      <c r="E15" s="18">
        <f t="shared" si="0"/>
        <v>0.63963809458342014</v>
      </c>
      <c r="F15" s="17">
        <f>SUM(F16:F26)</f>
        <v>21573.602360000001</v>
      </c>
      <c r="G15" s="29">
        <f t="shared" si="1"/>
        <v>0.17340489825234703</v>
      </c>
      <c r="H15" s="117">
        <f>(SUM(H16:H26))</f>
        <v>85098.795946000013</v>
      </c>
      <c r="I15" s="18"/>
      <c r="J15" s="17">
        <f>(SUM(J16:J26))</f>
        <v>58746.234769999995</v>
      </c>
      <c r="K15" s="29"/>
      <c r="L15" s="28">
        <f>SUM(L16:L26)</f>
        <v>107910.649381</v>
      </c>
      <c r="M15" s="17">
        <f>SUM(M16:M26)</f>
        <v>97526.144919039987</v>
      </c>
      <c r="N15" s="18">
        <f t="shared" si="2"/>
        <v>0.90376756583777518</v>
      </c>
      <c r="O15" s="17">
        <f>SUM(O16:O26)</f>
        <v>69028.100420999996</v>
      </c>
      <c r="P15" s="29">
        <f t="shared" si="3"/>
        <v>0.63967829697032563</v>
      </c>
      <c r="Q15" s="117">
        <f>(SUM(Q16:Q26))</f>
        <v>106940.999545</v>
      </c>
      <c r="R15" s="18">
        <f t="shared" si="4"/>
        <v>0.99101432674567225</v>
      </c>
      <c r="S15" s="17">
        <f>(SUM(S16:S26))</f>
        <v>106940.999545</v>
      </c>
      <c r="T15" s="18">
        <f t="shared" si="5"/>
        <v>0.99101432674567225</v>
      </c>
      <c r="U15" s="156"/>
      <c r="V15" s="156">
        <f t="shared" si="6"/>
        <v>0</v>
      </c>
    </row>
    <row r="16" spans="1:22" ht="33.75" x14ac:dyDescent="0.25">
      <c r="A16" s="101" t="s">
        <v>17</v>
      </c>
      <c r="B16" s="113" t="s">
        <v>95</v>
      </c>
      <c r="C16" s="30">
        <v>23695.333105999998</v>
      </c>
      <c r="D16" s="19">
        <v>18622.576377000001</v>
      </c>
      <c r="E16" s="20">
        <f t="shared" si="0"/>
        <v>0.78591747555068125</v>
      </c>
      <c r="F16" s="19">
        <v>4691.0895559999999</v>
      </c>
      <c r="G16" s="22">
        <f t="shared" si="1"/>
        <v>0.19797525255351436</v>
      </c>
      <c r="H16" s="25">
        <v>12335.059052000001</v>
      </c>
      <c r="I16" s="20">
        <v>0.52056913472453292</v>
      </c>
      <c r="J16" s="19">
        <v>12335.059052000001</v>
      </c>
      <c r="K16" s="22">
        <v>0.52056913472453292</v>
      </c>
      <c r="L16" s="30">
        <v>23576.379884000002</v>
      </c>
      <c r="M16" s="19">
        <v>23534.278008000001</v>
      </c>
      <c r="N16" s="20">
        <f t="shared" si="2"/>
        <v>0.99821423491616823</v>
      </c>
      <c r="O16" s="19">
        <v>11318.537039000001</v>
      </c>
      <c r="P16" s="22">
        <f t="shared" si="3"/>
        <v>0.48007951579883018</v>
      </c>
      <c r="Q16" s="25">
        <v>23576.379884000002</v>
      </c>
      <c r="R16" s="20">
        <f t="shared" si="4"/>
        <v>1</v>
      </c>
      <c r="S16" s="19">
        <v>23576.379884000002</v>
      </c>
      <c r="T16" s="20">
        <f t="shared" si="5"/>
        <v>1</v>
      </c>
      <c r="U16" s="156"/>
      <c r="V16" s="156">
        <f t="shared" si="6"/>
        <v>0</v>
      </c>
    </row>
    <row r="17" spans="1:22" ht="22.5" x14ac:dyDescent="0.25">
      <c r="A17" s="101" t="s">
        <v>19</v>
      </c>
      <c r="B17" s="113" t="s">
        <v>96</v>
      </c>
      <c r="C17" s="30">
        <v>12000</v>
      </c>
      <c r="D17" s="19">
        <v>8566.8622369999994</v>
      </c>
      <c r="E17" s="20">
        <f t="shared" si="0"/>
        <v>0.71390518641666656</v>
      </c>
      <c r="F17" s="19">
        <v>2371.2696740000001</v>
      </c>
      <c r="G17" s="22">
        <f t="shared" si="1"/>
        <v>0.19760580616666668</v>
      </c>
      <c r="H17" s="25">
        <v>8181.7992839999997</v>
      </c>
      <c r="I17" s="20">
        <v>0.68181660700000002</v>
      </c>
      <c r="J17" s="19">
        <v>8063.598567</v>
      </c>
      <c r="K17" s="22">
        <v>0.67196654725000005</v>
      </c>
      <c r="L17" s="30">
        <v>12000</v>
      </c>
      <c r="M17" s="19">
        <v>10304.400987999999</v>
      </c>
      <c r="N17" s="20">
        <f t="shared" si="2"/>
        <v>0.85870008233333328</v>
      </c>
      <c r="O17" s="19">
        <v>8526.3942869999992</v>
      </c>
      <c r="P17" s="22">
        <f t="shared" si="3"/>
        <v>0.71053285724999993</v>
      </c>
      <c r="Q17" s="25">
        <v>12000</v>
      </c>
      <c r="R17" s="20">
        <f t="shared" si="4"/>
        <v>1</v>
      </c>
      <c r="S17" s="19">
        <v>12000</v>
      </c>
      <c r="T17" s="20">
        <f t="shared" si="5"/>
        <v>1</v>
      </c>
      <c r="U17" s="156"/>
      <c r="V17" s="156">
        <f t="shared" si="6"/>
        <v>0</v>
      </c>
    </row>
    <row r="18" spans="1:22" ht="45" x14ac:dyDescent="0.25">
      <c r="A18" s="101" t="s">
        <v>21</v>
      </c>
      <c r="B18" s="113" t="s">
        <v>97</v>
      </c>
      <c r="C18" s="30">
        <v>7860</v>
      </c>
      <c r="D18" s="19">
        <v>5053.6971299999996</v>
      </c>
      <c r="E18" s="20">
        <f t="shared" si="0"/>
        <v>0.64296401145038162</v>
      </c>
      <c r="F18" s="19">
        <v>3317.14705</v>
      </c>
      <c r="G18" s="22">
        <f t="shared" si="1"/>
        <v>0.42202888676844785</v>
      </c>
      <c r="H18" s="25">
        <v>5484.8724430000002</v>
      </c>
      <c r="I18" s="20">
        <v>0.69782092150127228</v>
      </c>
      <c r="J18" s="19">
        <v>2564.7551440000002</v>
      </c>
      <c r="K18" s="22">
        <v>0.32630472569974556</v>
      </c>
      <c r="L18" s="30">
        <v>5178.348919</v>
      </c>
      <c r="M18" s="19">
        <v>5133.7842609999998</v>
      </c>
      <c r="N18" s="20">
        <f t="shared" si="2"/>
        <v>0.99139404109358353</v>
      </c>
      <c r="O18" s="19">
        <v>4699.6403410000003</v>
      </c>
      <c r="P18" s="22">
        <f t="shared" si="3"/>
        <v>0.90755575078311945</v>
      </c>
      <c r="Q18" s="25">
        <v>5178.348919</v>
      </c>
      <c r="R18" s="20">
        <f t="shared" si="4"/>
        <v>1</v>
      </c>
      <c r="S18" s="19">
        <v>5178.348919</v>
      </c>
      <c r="T18" s="20">
        <f t="shared" si="5"/>
        <v>1</v>
      </c>
      <c r="U18" s="156"/>
      <c r="V18" s="156">
        <f t="shared" si="6"/>
        <v>0</v>
      </c>
    </row>
    <row r="19" spans="1:22" ht="33.75" x14ac:dyDescent="0.25">
      <c r="A19" s="101" t="s">
        <v>23</v>
      </c>
      <c r="B19" s="113" t="s">
        <v>98</v>
      </c>
      <c r="C19" s="30">
        <v>4987</v>
      </c>
      <c r="D19" s="19">
        <v>458.14810599999998</v>
      </c>
      <c r="E19" s="20">
        <f t="shared" si="0"/>
        <v>9.1868479246039705E-2</v>
      </c>
      <c r="F19" s="19">
        <v>131.10945000000001</v>
      </c>
      <c r="G19" s="22">
        <f t="shared" si="1"/>
        <v>2.6290244636053742E-2</v>
      </c>
      <c r="H19" s="25">
        <v>3125</v>
      </c>
      <c r="I19" s="20">
        <v>0.6266292360136354</v>
      </c>
      <c r="J19" s="19">
        <v>971.1</v>
      </c>
      <c r="K19" s="22">
        <v>0.19472628834970923</v>
      </c>
      <c r="L19" s="30">
        <v>4330.8487519999999</v>
      </c>
      <c r="M19" s="19">
        <v>2129.1227370000001</v>
      </c>
      <c r="N19" s="20">
        <f t="shared" si="2"/>
        <v>0.49161789268599243</v>
      </c>
      <c r="O19" s="19">
        <v>1327.7758409999999</v>
      </c>
      <c r="P19" s="22">
        <f t="shared" si="3"/>
        <v>0.30658559488756765</v>
      </c>
      <c r="Q19" s="25">
        <v>4330.8487519999999</v>
      </c>
      <c r="R19" s="20">
        <f t="shared" si="4"/>
        <v>1</v>
      </c>
      <c r="S19" s="19">
        <v>4330.8487519999999</v>
      </c>
      <c r="T19" s="20">
        <f t="shared" si="5"/>
        <v>1</v>
      </c>
      <c r="U19" s="156"/>
      <c r="V19" s="156">
        <f t="shared" si="6"/>
        <v>0</v>
      </c>
    </row>
    <row r="20" spans="1:22" ht="33.75" x14ac:dyDescent="0.25">
      <c r="A20" s="101" t="s">
        <v>25</v>
      </c>
      <c r="B20" s="113" t="s">
        <v>99</v>
      </c>
      <c r="C20" s="30">
        <v>12000</v>
      </c>
      <c r="D20" s="19">
        <v>1833.1303290000001</v>
      </c>
      <c r="E20" s="20">
        <f t="shared" si="0"/>
        <v>0.15276086075</v>
      </c>
      <c r="F20" s="19">
        <v>0</v>
      </c>
      <c r="G20" s="22">
        <f t="shared" si="1"/>
        <v>0</v>
      </c>
      <c r="H20" s="25">
        <v>1850</v>
      </c>
      <c r="I20" s="20">
        <v>0.15416666666666667</v>
      </c>
      <c r="J20" s="19">
        <v>555</v>
      </c>
      <c r="K20" s="22">
        <v>4.6249999999999999E-2</v>
      </c>
      <c r="L20" s="30">
        <v>11983.130447</v>
      </c>
      <c r="M20" s="19">
        <v>5983.1303289999996</v>
      </c>
      <c r="N20" s="20">
        <f t="shared" si="2"/>
        <v>0.49929610258877621</v>
      </c>
      <c r="O20" s="19">
        <v>549.93909900000006</v>
      </c>
      <c r="P20" s="22">
        <f t="shared" si="3"/>
        <v>4.5892774132128257E-2</v>
      </c>
      <c r="Q20" s="25">
        <v>11983.130447</v>
      </c>
      <c r="R20" s="20">
        <f t="shared" si="4"/>
        <v>1</v>
      </c>
      <c r="S20" s="19">
        <v>11983.130447</v>
      </c>
      <c r="T20" s="20">
        <f t="shared" si="5"/>
        <v>1</v>
      </c>
      <c r="U20" s="156"/>
      <c r="V20" s="156">
        <f t="shared" si="6"/>
        <v>0</v>
      </c>
    </row>
    <row r="21" spans="1:22" ht="22.5" x14ac:dyDescent="0.25">
      <c r="A21" s="101" t="s">
        <v>27</v>
      </c>
      <c r="B21" s="113" t="s">
        <v>100</v>
      </c>
      <c r="C21" s="30">
        <v>3750</v>
      </c>
      <c r="D21" s="19">
        <v>3023.0988219999999</v>
      </c>
      <c r="E21" s="20">
        <f t="shared" si="0"/>
        <v>0.80615968586666664</v>
      </c>
      <c r="F21" s="19">
        <v>52.496963999999998</v>
      </c>
      <c r="G21" s="22">
        <f t="shared" si="1"/>
        <v>1.39991904E-2</v>
      </c>
      <c r="H21" s="25">
        <v>3750</v>
      </c>
      <c r="I21" s="20">
        <v>1</v>
      </c>
      <c r="J21" s="19">
        <v>3400.0868209999999</v>
      </c>
      <c r="K21" s="22">
        <v>0.90668981893333334</v>
      </c>
      <c r="L21" s="30">
        <v>3502.1767709999999</v>
      </c>
      <c r="M21" s="19">
        <v>3494.939042</v>
      </c>
      <c r="N21" s="20">
        <f t="shared" si="2"/>
        <v>0.99793336274172895</v>
      </c>
      <c r="O21" s="19">
        <v>3125.9038220000002</v>
      </c>
      <c r="P21" s="22">
        <f t="shared" si="3"/>
        <v>0.89256026362925134</v>
      </c>
      <c r="Q21" s="25">
        <v>3502.1767709999999</v>
      </c>
      <c r="R21" s="20">
        <f t="shared" si="4"/>
        <v>1</v>
      </c>
      <c r="S21" s="19">
        <v>3502.1767709999999</v>
      </c>
      <c r="T21" s="20">
        <f t="shared" si="5"/>
        <v>1</v>
      </c>
      <c r="U21" s="156"/>
      <c r="V21" s="156">
        <f t="shared" si="6"/>
        <v>0</v>
      </c>
    </row>
    <row r="22" spans="1:22" ht="45" x14ac:dyDescent="0.25">
      <c r="A22" s="101" t="s">
        <v>29</v>
      </c>
      <c r="B22" s="113" t="s">
        <v>101</v>
      </c>
      <c r="C22" s="30">
        <v>5200</v>
      </c>
      <c r="D22" s="19">
        <v>3449.248979</v>
      </c>
      <c r="E22" s="20">
        <f t="shared" si="0"/>
        <v>0.66331711134615379</v>
      </c>
      <c r="F22" s="19">
        <v>1739.734966</v>
      </c>
      <c r="G22" s="22">
        <f t="shared" si="1"/>
        <v>0.33456441653846153</v>
      </c>
      <c r="H22" s="25">
        <v>5200</v>
      </c>
      <c r="I22" s="20">
        <v>1</v>
      </c>
      <c r="J22" s="19">
        <v>2312.3594859999998</v>
      </c>
      <c r="K22" s="22">
        <v>0.44468451653846153</v>
      </c>
      <c r="L22" s="30">
        <v>5059</v>
      </c>
      <c r="M22" s="19">
        <v>4792.4212360399997</v>
      </c>
      <c r="N22" s="20">
        <f t="shared" si="2"/>
        <v>0.94730603598339591</v>
      </c>
      <c r="O22" s="19">
        <v>4414.3839429999998</v>
      </c>
      <c r="P22" s="22">
        <f t="shared" si="3"/>
        <v>0.87258034058114253</v>
      </c>
      <c r="Q22" s="25">
        <v>5059</v>
      </c>
      <c r="R22" s="20">
        <f t="shared" si="4"/>
        <v>1</v>
      </c>
      <c r="S22" s="19">
        <v>5059</v>
      </c>
      <c r="T22" s="20">
        <f t="shared" si="5"/>
        <v>1</v>
      </c>
      <c r="U22" s="156"/>
      <c r="V22" s="156">
        <f t="shared" si="6"/>
        <v>0</v>
      </c>
    </row>
    <row r="23" spans="1:22" ht="56.25" x14ac:dyDescent="0.25">
      <c r="A23" s="101" t="s">
        <v>31</v>
      </c>
      <c r="B23" s="113" t="s">
        <v>102</v>
      </c>
      <c r="C23" s="30">
        <v>19320</v>
      </c>
      <c r="D23" s="19">
        <v>13846.59866</v>
      </c>
      <c r="E23" s="20">
        <f t="shared" si="0"/>
        <v>0.71669765320910972</v>
      </c>
      <c r="F23" s="19">
        <v>5768.9915010000004</v>
      </c>
      <c r="G23" s="22">
        <f t="shared" si="1"/>
        <v>0.29860204456521744</v>
      </c>
      <c r="H23" s="25">
        <v>18196.5</v>
      </c>
      <c r="I23" s="20">
        <v>0.9418478260869565</v>
      </c>
      <c r="J23" s="19">
        <v>9446.5323119999994</v>
      </c>
      <c r="K23" s="22">
        <v>0.48895094782608695</v>
      </c>
      <c r="L23" s="30">
        <v>16505.473787999999</v>
      </c>
      <c r="M23" s="19">
        <v>16428.117784999999</v>
      </c>
      <c r="N23" s="20">
        <f t="shared" si="2"/>
        <v>0.99531331217791275</v>
      </c>
      <c r="O23" s="19">
        <v>14508.781572</v>
      </c>
      <c r="P23" s="22">
        <f t="shared" si="3"/>
        <v>0.87902848220863206</v>
      </c>
      <c r="Q23" s="25">
        <v>16505.473787999999</v>
      </c>
      <c r="R23" s="20">
        <f t="shared" si="4"/>
        <v>1</v>
      </c>
      <c r="S23" s="19">
        <v>16505.473787999999</v>
      </c>
      <c r="T23" s="20">
        <f t="shared" si="5"/>
        <v>1</v>
      </c>
      <c r="U23" s="156"/>
      <c r="V23" s="156">
        <f t="shared" si="6"/>
        <v>0</v>
      </c>
    </row>
    <row r="24" spans="1:22" ht="33.75" x14ac:dyDescent="0.25">
      <c r="A24" s="101" t="s">
        <v>33</v>
      </c>
      <c r="B24" s="113" t="s">
        <v>103</v>
      </c>
      <c r="C24" s="30">
        <v>9699.3909999999996</v>
      </c>
      <c r="D24" s="19">
        <v>8582.3713680000001</v>
      </c>
      <c r="E24" s="20">
        <f t="shared" si="0"/>
        <v>0.88483610651431621</v>
      </c>
      <c r="F24" s="19">
        <v>0</v>
      </c>
      <c r="G24" s="22">
        <f t="shared" si="1"/>
        <v>0</v>
      </c>
      <c r="H24" s="25">
        <v>9699.3909999999996</v>
      </c>
      <c r="I24" s="20">
        <v>1</v>
      </c>
      <c r="J24" s="19">
        <v>3561.5692210000002</v>
      </c>
      <c r="K24" s="22">
        <v>0.3671951384370421</v>
      </c>
      <c r="L24" s="30">
        <v>9432.5446769999999</v>
      </c>
      <c r="M24" s="19">
        <v>9383.2043900000008</v>
      </c>
      <c r="N24" s="20">
        <f t="shared" si="2"/>
        <v>0.99476914356734414</v>
      </c>
      <c r="O24" s="19">
        <v>6685.964782</v>
      </c>
      <c r="P24" s="22">
        <f t="shared" si="3"/>
        <v>0.70881877700540685</v>
      </c>
      <c r="Q24" s="25">
        <v>8462.8948409999994</v>
      </c>
      <c r="R24" s="20">
        <f t="shared" si="4"/>
        <v>0.89720167047134569</v>
      </c>
      <c r="S24" s="19">
        <v>8462.8948409999994</v>
      </c>
      <c r="T24" s="20">
        <f t="shared" si="5"/>
        <v>0.89720167047134569</v>
      </c>
      <c r="U24" s="156"/>
      <c r="V24" s="156">
        <f t="shared" si="6"/>
        <v>0</v>
      </c>
    </row>
    <row r="25" spans="1:22" ht="56.25" x14ac:dyDescent="0.25">
      <c r="A25" s="101" t="s">
        <v>35</v>
      </c>
      <c r="B25" s="113" t="s">
        <v>104</v>
      </c>
      <c r="C25" s="30">
        <v>700</v>
      </c>
      <c r="D25" s="19">
        <v>0</v>
      </c>
      <c r="E25" s="20">
        <f t="shared" si="0"/>
        <v>0</v>
      </c>
      <c r="F25" s="19">
        <v>0</v>
      </c>
      <c r="G25" s="22">
        <f t="shared" si="1"/>
        <v>0</v>
      </c>
      <c r="H25" s="25">
        <v>700</v>
      </c>
      <c r="I25" s="20">
        <v>1</v>
      </c>
      <c r="J25" s="19">
        <v>210</v>
      </c>
      <c r="K25" s="22">
        <v>0.3</v>
      </c>
      <c r="L25" s="30">
        <v>0</v>
      </c>
      <c r="M25" s="19">
        <v>0</v>
      </c>
      <c r="N25" s="19">
        <v>0</v>
      </c>
      <c r="O25" s="19">
        <v>0</v>
      </c>
      <c r="P25" s="22"/>
      <c r="Q25" s="25"/>
      <c r="R25" s="19"/>
      <c r="S25" s="19"/>
      <c r="T25" s="19"/>
      <c r="U25" s="156"/>
      <c r="V25" s="156">
        <f t="shared" si="6"/>
        <v>0</v>
      </c>
    </row>
    <row r="26" spans="1:22" ht="33.75" x14ac:dyDescent="0.25">
      <c r="A26" s="101" t="s">
        <v>36</v>
      </c>
      <c r="B26" s="113" t="s">
        <v>105</v>
      </c>
      <c r="C26" s="30">
        <v>25200</v>
      </c>
      <c r="D26" s="19">
        <v>16142.746143</v>
      </c>
      <c r="E26" s="20">
        <f t="shared" si="0"/>
        <v>0.64058516440476188</v>
      </c>
      <c r="F26" s="19">
        <v>3501.763199</v>
      </c>
      <c r="G26" s="22">
        <f t="shared" si="1"/>
        <v>0.1389588571031746</v>
      </c>
      <c r="H26" s="25">
        <v>16576.174167000001</v>
      </c>
      <c r="I26" s="20">
        <v>0.65778468916666666</v>
      </c>
      <c r="J26" s="19">
        <v>15326.174166999999</v>
      </c>
      <c r="K26" s="22">
        <v>0.60818151456349201</v>
      </c>
      <c r="L26" s="30">
        <v>16342.746143</v>
      </c>
      <c r="M26" s="19">
        <v>16342.746143</v>
      </c>
      <c r="N26" s="20">
        <f t="shared" si="2"/>
        <v>1</v>
      </c>
      <c r="O26" s="19">
        <v>13870.779694999999</v>
      </c>
      <c r="P26" s="22">
        <f t="shared" si="3"/>
        <v>0.84874228441351607</v>
      </c>
      <c r="Q26" s="25">
        <v>16342.746143</v>
      </c>
      <c r="R26" s="20">
        <f t="shared" si="4"/>
        <v>1</v>
      </c>
      <c r="S26" s="19">
        <v>16342.746143</v>
      </c>
      <c r="T26" s="20">
        <f t="shared" si="5"/>
        <v>1</v>
      </c>
      <c r="U26" s="156"/>
      <c r="V26" s="156">
        <f t="shared" si="6"/>
        <v>0</v>
      </c>
    </row>
    <row r="27" spans="1:22" s="1" customFormat="1" ht="24" customHeight="1" x14ac:dyDescent="0.25">
      <c r="A27" s="99"/>
      <c r="B27" s="112" t="s">
        <v>88</v>
      </c>
      <c r="C27" s="28">
        <f>SUM(C28:C35)</f>
        <v>87628.275893999991</v>
      </c>
      <c r="D27" s="17">
        <f>SUM(D28:D35)</f>
        <v>70393.179384239993</v>
      </c>
      <c r="E27" s="18">
        <f t="shared" si="0"/>
        <v>0.80331580949271986</v>
      </c>
      <c r="F27" s="17">
        <f>SUM(F28:F35)</f>
        <v>36104.011371000001</v>
      </c>
      <c r="G27" s="29">
        <f t="shared" si="1"/>
        <v>0.41201325716682374</v>
      </c>
      <c r="H27" s="117">
        <f>(SUM(H28:H35))</f>
        <v>80157.160720999993</v>
      </c>
      <c r="I27" s="18"/>
      <c r="J27" s="17">
        <f>(SUM(J28:J35))</f>
        <v>45697.213325439996</v>
      </c>
      <c r="K27" s="29"/>
      <c r="L27" s="28">
        <f>SUM(L28:L35)</f>
        <v>84006.068612999996</v>
      </c>
      <c r="M27" s="17">
        <f>SUM(M28:M35)</f>
        <v>82671.234825000007</v>
      </c>
      <c r="N27" s="18">
        <f t="shared" si="2"/>
        <v>0.9841102695312488</v>
      </c>
      <c r="O27" s="17">
        <f>SUM(O28:O35)</f>
        <v>73719.087951000009</v>
      </c>
      <c r="P27" s="29">
        <f t="shared" si="3"/>
        <v>0.87754479132465835</v>
      </c>
      <c r="Q27" s="117">
        <f>(SUM(Q28:Q35))</f>
        <v>83474.042908999996</v>
      </c>
      <c r="R27" s="18">
        <f t="shared" si="4"/>
        <v>0.99366681820987313</v>
      </c>
      <c r="S27" s="17">
        <f>(SUM(S28:S35))</f>
        <v>77037.290783999997</v>
      </c>
      <c r="T27" s="18">
        <f t="shared" si="5"/>
        <v>0.91704435234192616</v>
      </c>
      <c r="U27" s="156"/>
      <c r="V27" s="156">
        <f t="shared" si="6"/>
        <v>6436.7521249999991</v>
      </c>
    </row>
    <row r="28" spans="1:22" ht="33.75" x14ac:dyDescent="0.25">
      <c r="A28" s="101" t="s">
        <v>39</v>
      </c>
      <c r="B28" s="113" t="s">
        <v>106</v>
      </c>
      <c r="C28" s="30">
        <v>9000</v>
      </c>
      <c r="D28" s="19">
        <v>5846.6697999999997</v>
      </c>
      <c r="E28" s="20">
        <f t="shared" si="0"/>
        <v>0.64962997777777776</v>
      </c>
      <c r="F28" s="19">
        <v>1514.4229929999999</v>
      </c>
      <c r="G28" s="22">
        <f t="shared" si="1"/>
        <v>0.16826922144444442</v>
      </c>
      <c r="H28" s="25">
        <v>8815</v>
      </c>
      <c r="I28" s="20">
        <v>0.86379225869671727</v>
      </c>
      <c r="J28" s="19">
        <v>6030.5022134399997</v>
      </c>
      <c r="K28" s="22">
        <v>0.59093603267417927</v>
      </c>
      <c r="L28" s="30">
        <v>7630.0600059999997</v>
      </c>
      <c r="M28" s="19">
        <v>6984.8241790000002</v>
      </c>
      <c r="N28" s="20">
        <f t="shared" si="2"/>
        <v>0.91543502587232473</v>
      </c>
      <c r="O28" s="19">
        <v>5254.7185639999998</v>
      </c>
      <c r="P28" s="22">
        <f t="shared" si="3"/>
        <v>0.68868640087599331</v>
      </c>
      <c r="Q28" s="25">
        <v>7630.0600059999997</v>
      </c>
      <c r="R28" s="20">
        <f t="shared" si="4"/>
        <v>1</v>
      </c>
      <c r="S28" s="19">
        <v>6318.5148740000004</v>
      </c>
      <c r="T28" s="20">
        <f t="shared" si="5"/>
        <v>0.8281081497434295</v>
      </c>
      <c r="U28" s="156"/>
      <c r="V28" s="156">
        <f t="shared" si="6"/>
        <v>1311.5451319999993</v>
      </c>
    </row>
    <row r="29" spans="1:22" ht="45" x14ac:dyDescent="0.25">
      <c r="A29" s="101" t="s">
        <v>41</v>
      </c>
      <c r="B29" s="113" t="s">
        <v>107</v>
      </c>
      <c r="C29" s="30">
        <v>10205</v>
      </c>
      <c r="D29" s="19">
        <v>7654.23184924</v>
      </c>
      <c r="E29" s="20">
        <f t="shared" si="0"/>
        <v>0.75004721697599219</v>
      </c>
      <c r="F29" s="19">
        <v>4586.3303070000002</v>
      </c>
      <c r="G29" s="22">
        <f t="shared" si="1"/>
        <v>0.44941992229299366</v>
      </c>
      <c r="H29" s="25">
        <v>8490</v>
      </c>
      <c r="I29" s="20">
        <v>0.94333333333333336</v>
      </c>
      <c r="J29" s="19">
        <v>3469.0033229999999</v>
      </c>
      <c r="K29" s="22">
        <v>0.38544481366666666</v>
      </c>
      <c r="L29" s="30">
        <v>9532.0257039999997</v>
      </c>
      <c r="M29" s="19">
        <v>9116.3806870000008</v>
      </c>
      <c r="N29" s="20">
        <f t="shared" si="2"/>
        <v>0.95639489129518629</v>
      </c>
      <c r="O29" s="19">
        <v>8266.2783440000003</v>
      </c>
      <c r="P29" s="22">
        <f t="shared" si="3"/>
        <v>0.8672110840543743</v>
      </c>
      <c r="Q29" s="25">
        <v>9000</v>
      </c>
      <c r="R29" s="20">
        <f t="shared" si="4"/>
        <v>0.94418545223008143</v>
      </c>
      <c r="S29" s="19">
        <v>6318.5148740000004</v>
      </c>
      <c r="T29" s="20">
        <f t="shared" si="5"/>
        <v>0.66287220263668734</v>
      </c>
      <c r="U29" s="156"/>
      <c r="V29" s="156">
        <f t="shared" si="6"/>
        <v>2681.4851259999996</v>
      </c>
    </row>
    <row r="30" spans="1:22" ht="33.75" x14ac:dyDescent="0.25">
      <c r="A30" s="101" t="s">
        <v>43</v>
      </c>
      <c r="B30" s="113" t="s">
        <v>108</v>
      </c>
      <c r="C30" s="30">
        <v>4365.0690199999999</v>
      </c>
      <c r="D30" s="19">
        <v>3819.7490819999998</v>
      </c>
      <c r="E30" s="20">
        <f t="shared" si="0"/>
        <v>0.87507186358304134</v>
      </c>
      <c r="F30" s="19">
        <v>2540.05996</v>
      </c>
      <c r="G30" s="22">
        <f t="shared" si="1"/>
        <v>0.58190602447793605</v>
      </c>
      <c r="H30" s="25">
        <v>4009.8473589999999</v>
      </c>
      <c r="I30" s="20">
        <v>0.91862175388924316</v>
      </c>
      <c r="J30" s="19">
        <v>2427.533934</v>
      </c>
      <c r="K30" s="22">
        <v>0.55612727379050697</v>
      </c>
      <c r="L30" s="30">
        <v>4172.80861</v>
      </c>
      <c r="M30" s="19">
        <v>4154.0609569999997</v>
      </c>
      <c r="N30" s="20">
        <f t="shared" si="2"/>
        <v>0.99550718598617916</v>
      </c>
      <c r="O30" s="19">
        <v>3756.384235</v>
      </c>
      <c r="P30" s="22">
        <f t="shared" si="3"/>
        <v>0.90020525408185448</v>
      </c>
      <c r="Q30" s="30">
        <v>4172.80861</v>
      </c>
      <c r="R30" s="20">
        <f t="shared" si="4"/>
        <v>1</v>
      </c>
      <c r="S30" s="19">
        <v>3845.7837549999999</v>
      </c>
      <c r="T30" s="20">
        <f t="shared" si="5"/>
        <v>0.92162955803525337</v>
      </c>
      <c r="U30" s="156"/>
      <c r="V30" s="156">
        <f t="shared" si="6"/>
        <v>327.02485500000012</v>
      </c>
    </row>
    <row r="31" spans="1:22" ht="33.75" x14ac:dyDescent="0.25">
      <c r="A31" s="101" t="s">
        <v>45</v>
      </c>
      <c r="B31" s="113" t="s">
        <v>109</v>
      </c>
      <c r="C31" s="30">
        <v>10000</v>
      </c>
      <c r="D31" s="19">
        <v>5083.55</v>
      </c>
      <c r="E31" s="20">
        <f t="shared" si="0"/>
        <v>0.508355</v>
      </c>
      <c r="F31" s="19">
        <v>0</v>
      </c>
      <c r="G31" s="22">
        <f t="shared" si="1"/>
        <v>0</v>
      </c>
      <c r="H31" s="25">
        <v>7983.0513080000001</v>
      </c>
      <c r="I31" s="20">
        <v>0.79830513079999998</v>
      </c>
      <c r="J31" s="19">
        <v>4883.0513080000001</v>
      </c>
      <c r="K31" s="22">
        <v>0.48830513079999999</v>
      </c>
      <c r="L31" s="30">
        <v>9425.4363830000002</v>
      </c>
      <c r="M31" s="19">
        <v>9259.8731470000002</v>
      </c>
      <c r="N31" s="20">
        <f t="shared" si="2"/>
        <v>0.98243442220896904</v>
      </c>
      <c r="O31" s="19">
        <v>7209.8731470000002</v>
      </c>
      <c r="P31" s="22">
        <f t="shared" si="3"/>
        <v>0.76493786112693352</v>
      </c>
      <c r="Q31" s="25">
        <v>9425.4363830000002</v>
      </c>
      <c r="R31" s="20">
        <f t="shared" si="4"/>
        <v>1</v>
      </c>
      <c r="S31" s="19">
        <v>9425.4363830000002</v>
      </c>
      <c r="T31" s="20">
        <f t="shared" si="5"/>
        <v>1</v>
      </c>
      <c r="U31" s="156"/>
      <c r="V31" s="156">
        <f t="shared" si="6"/>
        <v>0</v>
      </c>
    </row>
    <row r="32" spans="1:22" ht="33.75" x14ac:dyDescent="0.25">
      <c r="A32" s="101" t="s">
        <v>47</v>
      </c>
      <c r="B32" s="113" t="s">
        <v>110</v>
      </c>
      <c r="C32" s="30">
        <v>5250</v>
      </c>
      <c r="D32" s="19">
        <v>4698.6218879999997</v>
      </c>
      <c r="E32" s="20">
        <f t="shared" si="0"/>
        <v>0.8949755977142857</v>
      </c>
      <c r="F32" s="19">
        <v>188.72997599999999</v>
      </c>
      <c r="G32" s="22">
        <f>+F32/C32</f>
        <v>3.5948566857142858E-2</v>
      </c>
      <c r="H32" s="25">
        <v>5140</v>
      </c>
      <c r="I32" s="20">
        <v>0.97904761904761906</v>
      </c>
      <c r="J32" s="19">
        <v>428</v>
      </c>
      <c r="K32" s="22">
        <v>8.1523809523809526E-2</v>
      </c>
      <c r="L32" s="30">
        <v>4916.7322670000003</v>
      </c>
      <c r="M32" s="19">
        <v>4905.1334040000002</v>
      </c>
      <c r="N32" s="20">
        <f t="shared" si="2"/>
        <v>0.99764094069594778</v>
      </c>
      <c r="O32" s="19">
        <v>4200.1820680000001</v>
      </c>
      <c r="P32" s="22">
        <f>+O32/L32</f>
        <v>0.8542629209629079</v>
      </c>
      <c r="Q32" s="25">
        <v>4916.7322670000003</v>
      </c>
      <c r="R32" s="20">
        <f t="shared" si="4"/>
        <v>1</v>
      </c>
      <c r="S32" s="19">
        <v>4916.7322670000003</v>
      </c>
      <c r="T32" s="20">
        <f t="shared" si="5"/>
        <v>1</v>
      </c>
      <c r="U32" s="156"/>
      <c r="V32" s="156">
        <f t="shared" si="6"/>
        <v>0</v>
      </c>
    </row>
    <row r="33" spans="1:22" ht="56.25" x14ac:dyDescent="0.25">
      <c r="A33" s="101" t="s">
        <v>49</v>
      </c>
      <c r="B33" s="113" t="s">
        <v>111</v>
      </c>
      <c r="C33" s="30">
        <f>43351206874/1000000</f>
        <v>43351.206874000003</v>
      </c>
      <c r="D33" s="19">
        <v>39751.133242999997</v>
      </c>
      <c r="E33" s="20">
        <f t="shared" si="0"/>
        <v>0.91695563075178976</v>
      </c>
      <c r="F33" s="19">
        <v>27274.468134999999</v>
      </c>
      <c r="G33" s="22">
        <f t="shared" si="1"/>
        <v>0.62915129939226511</v>
      </c>
      <c r="H33" s="25">
        <v>40262.262053999999</v>
      </c>
      <c r="I33" s="20">
        <v>0.91319996227337896</v>
      </c>
      <c r="J33" s="19">
        <v>28459.122546999999</v>
      </c>
      <c r="K33" s="22">
        <v>0.64548955548988862</v>
      </c>
      <c r="L33" s="30">
        <v>43350.126142000001</v>
      </c>
      <c r="M33" s="19">
        <v>43349.886470999998</v>
      </c>
      <c r="N33" s="20">
        <f t="shared" si="2"/>
        <v>0.99999447127329644</v>
      </c>
      <c r="O33" s="19">
        <v>41233.429129999997</v>
      </c>
      <c r="P33" s="22">
        <f t="shared" ref="P33:P51" si="7">+O33/L33</f>
        <v>0.95117206798738163</v>
      </c>
      <c r="Q33" s="25">
        <v>43350.126142000001</v>
      </c>
      <c r="R33" s="20">
        <f t="shared" si="4"/>
        <v>1</v>
      </c>
      <c r="S33" s="19">
        <v>41233.429129999997</v>
      </c>
      <c r="T33" s="20">
        <f t="shared" si="5"/>
        <v>0.95117206798738163</v>
      </c>
      <c r="U33" s="156"/>
      <c r="V33" s="156">
        <f t="shared" si="6"/>
        <v>2116.6970120000042</v>
      </c>
    </row>
    <row r="34" spans="1:22" ht="33.75" x14ac:dyDescent="0.25">
      <c r="A34" s="101" t="s">
        <v>51</v>
      </c>
      <c r="B34" s="113" t="s">
        <v>112</v>
      </c>
      <c r="C34" s="30">
        <v>3000</v>
      </c>
      <c r="D34" s="19">
        <v>2799.2836889999999</v>
      </c>
      <c r="E34" s="20">
        <f t="shared" si="0"/>
        <v>0.93309456299999993</v>
      </c>
      <c r="F34" s="19">
        <v>0</v>
      </c>
      <c r="G34" s="22">
        <f t="shared" si="1"/>
        <v>0</v>
      </c>
      <c r="H34" s="25">
        <v>3000</v>
      </c>
      <c r="I34" s="20">
        <v>1</v>
      </c>
      <c r="J34" s="19">
        <v>0</v>
      </c>
      <c r="K34" s="22">
        <v>0</v>
      </c>
      <c r="L34" s="30">
        <v>2876.118696</v>
      </c>
      <c r="M34" s="19">
        <v>2875.8301970000002</v>
      </c>
      <c r="N34" s="20">
        <f t="shared" si="2"/>
        <v>0.9998996915529248</v>
      </c>
      <c r="O34" s="19">
        <v>2875.8301970000002</v>
      </c>
      <c r="P34" s="22">
        <f t="shared" si="7"/>
        <v>0.9998996915529248</v>
      </c>
      <c r="Q34" s="25">
        <v>2876.118696</v>
      </c>
      <c r="R34" s="20">
        <f t="shared" si="4"/>
        <v>1</v>
      </c>
      <c r="S34" s="19">
        <v>2876.118696</v>
      </c>
      <c r="T34" s="20">
        <f t="shared" si="5"/>
        <v>1</v>
      </c>
      <c r="U34" s="156"/>
      <c r="V34" s="156">
        <f t="shared" si="6"/>
        <v>0</v>
      </c>
    </row>
    <row r="35" spans="1:22" ht="33.75" x14ac:dyDescent="0.25">
      <c r="A35" s="101" t="s">
        <v>53</v>
      </c>
      <c r="B35" s="113" t="s">
        <v>113</v>
      </c>
      <c r="C35" s="30">
        <v>2457</v>
      </c>
      <c r="D35" s="19">
        <v>739.93983300000002</v>
      </c>
      <c r="E35" s="20">
        <f t="shared" si="0"/>
        <v>0.30115581318681317</v>
      </c>
      <c r="F35" s="19">
        <v>0</v>
      </c>
      <c r="G35" s="22">
        <f t="shared" si="1"/>
        <v>0</v>
      </c>
      <c r="H35" s="25">
        <v>2457</v>
      </c>
      <c r="I35" s="20">
        <v>1</v>
      </c>
      <c r="J35" s="19">
        <v>0</v>
      </c>
      <c r="K35" s="22">
        <v>0</v>
      </c>
      <c r="L35" s="30">
        <v>2102.7608049999999</v>
      </c>
      <c r="M35" s="19">
        <v>2025.2457830000001</v>
      </c>
      <c r="N35" s="20">
        <f t="shared" si="2"/>
        <v>0.96313654800123605</v>
      </c>
      <c r="O35" s="19">
        <v>922.39226599999995</v>
      </c>
      <c r="P35" s="22">
        <f t="shared" si="7"/>
        <v>0.43865772265048475</v>
      </c>
      <c r="Q35" s="25">
        <v>2102.7608049999999</v>
      </c>
      <c r="R35" s="20">
        <f t="shared" si="4"/>
        <v>1</v>
      </c>
      <c r="S35" s="19">
        <v>2102.7608049999999</v>
      </c>
      <c r="T35" s="20">
        <f t="shared" si="5"/>
        <v>1</v>
      </c>
      <c r="U35" s="156"/>
      <c r="V35" s="156">
        <f t="shared" si="6"/>
        <v>0</v>
      </c>
    </row>
    <row r="36" spans="1:22" s="1" customFormat="1" ht="29.25" customHeight="1" x14ac:dyDescent="0.25">
      <c r="A36" s="98"/>
      <c r="B36" s="114" t="s">
        <v>114</v>
      </c>
      <c r="C36" s="31">
        <f>+C37+C38+C39+C41</f>
        <v>43004</v>
      </c>
      <c r="D36" s="16">
        <f>+D37+D38+D39+D41</f>
        <v>26027.859685000003</v>
      </c>
      <c r="E36" s="15">
        <f t="shared" si="0"/>
        <v>0.60524276078969408</v>
      </c>
      <c r="F36" s="16">
        <f>+F37+F38+F39+F41</f>
        <v>14310.806159259999</v>
      </c>
      <c r="G36" s="21">
        <f t="shared" si="1"/>
        <v>0.33277848942563482</v>
      </c>
      <c r="H36" s="26">
        <f>(+H37+H38+H39+H41)</f>
        <v>27902.523591000001</v>
      </c>
      <c r="I36" s="15"/>
      <c r="J36" s="16">
        <f>(+J37+J38+J39+J41)</f>
        <v>19051.238915000002</v>
      </c>
      <c r="K36" s="21"/>
      <c r="L36" s="31">
        <f>+L37+L38+L39+L41</f>
        <v>38038.821255999996</v>
      </c>
      <c r="M36" s="16">
        <f>+M37+M38+M39+M41</f>
        <v>33776.290542789997</v>
      </c>
      <c r="N36" s="15">
        <f t="shared" si="2"/>
        <v>0.88794261829189425</v>
      </c>
      <c r="O36" s="16">
        <f>+O37+O38+O39+O41</f>
        <v>29035.913484789999</v>
      </c>
      <c r="P36" s="21">
        <f t="shared" si="7"/>
        <v>0.76332316633523611</v>
      </c>
      <c r="Q36" s="26">
        <f>(+Q37+Q38+Q39+Q41)</f>
        <v>38038.821255999996</v>
      </c>
      <c r="R36" s="15">
        <f t="shared" si="4"/>
        <v>1</v>
      </c>
      <c r="S36" s="16">
        <f>(+S37+S38+S39+S41)</f>
        <v>38017.087041999999</v>
      </c>
      <c r="T36" s="15">
        <f t="shared" si="5"/>
        <v>0.99942863071771526</v>
      </c>
      <c r="U36" s="156"/>
      <c r="V36" s="156">
        <f t="shared" si="6"/>
        <v>21.734213999996427</v>
      </c>
    </row>
    <row r="37" spans="1:22" ht="33.75" x14ac:dyDescent="0.25">
      <c r="A37" s="101" t="s">
        <v>61</v>
      </c>
      <c r="B37" s="113" t="s">
        <v>115</v>
      </c>
      <c r="C37" s="30">
        <v>8000</v>
      </c>
      <c r="D37" s="19">
        <v>4451.2675099999997</v>
      </c>
      <c r="E37" s="20">
        <f t="shared" si="0"/>
        <v>0.55640843875000001</v>
      </c>
      <c r="F37" s="19">
        <v>4413.4638729999997</v>
      </c>
      <c r="G37" s="22">
        <f t="shared" si="1"/>
        <v>0.55168298412499994</v>
      </c>
      <c r="H37" s="25">
        <v>0</v>
      </c>
      <c r="I37" s="20">
        <v>0</v>
      </c>
      <c r="J37" s="19">
        <v>0</v>
      </c>
      <c r="K37" s="22">
        <v>0</v>
      </c>
      <c r="L37" s="30">
        <v>6977.456553</v>
      </c>
      <c r="M37" s="19">
        <v>6977.2565420000001</v>
      </c>
      <c r="N37" s="20">
        <f t="shared" si="2"/>
        <v>0.99997133468356547</v>
      </c>
      <c r="O37" s="19">
        <v>4932.7285620000002</v>
      </c>
      <c r="P37" s="22">
        <f t="shared" si="7"/>
        <v>0.70695224320374217</v>
      </c>
      <c r="Q37" s="25">
        <v>6977.456553</v>
      </c>
      <c r="R37" s="20">
        <f t="shared" si="4"/>
        <v>1</v>
      </c>
      <c r="S37" s="19">
        <v>6977.456553</v>
      </c>
      <c r="T37" s="20">
        <f t="shared" si="5"/>
        <v>1</v>
      </c>
      <c r="U37" s="156"/>
      <c r="V37" s="156">
        <f t="shared" si="6"/>
        <v>0</v>
      </c>
    </row>
    <row r="38" spans="1:22" ht="22.5" x14ac:dyDescent="0.25">
      <c r="A38" s="101" t="s">
        <v>63</v>
      </c>
      <c r="B38" s="113" t="s">
        <v>116</v>
      </c>
      <c r="C38" s="30">
        <v>10500</v>
      </c>
      <c r="D38" s="19">
        <v>5774.8756100000001</v>
      </c>
      <c r="E38" s="20">
        <f t="shared" si="0"/>
        <v>0.54998815333333329</v>
      </c>
      <c r="F38" s="19">
        <v>3331.2469099999998</v>
      </c>
      <c r="G38" s="22">
        <f t="shared" si="1"/>
        <v>0.31726161047619045</v>
      </c>
      <c r="H38" s="25">
        <v>10500</v>
      </c>
      <c r="I38" s="20">
        <v>1</v>
      </c>
      <c r="J38" s="19">
        <v>10500</v>
      </c>
      <c r="K38" s="22">
        <v>1</v>
      </c>
      <c r="L38" s="30">
        <v>8000</v>
      </c>
      <c r="M38" s="19">
        <v>6100.3974920000001</v>
      </c>
      <c r="N38" s="20">
        <f t="shared" si="2"/>
        <v>0.76254968649999999</v>
      </c>
      <c r="O38" s="19">
        <v>5909.0890909999998</v>
      </c>
      <c r="P38" s="22">
        <f t="shared" si="7"/>
        <v>0.73863613637500003</v>
      </c>
      <c r="Q38" s="25">
        <v>8000</v>
      </c>
      <c r="R38" s="20">
        <f t="shared" si="4"/>
        <v>1</v>
      </c>
      <c r="S38" s="19">
        <v>8000</v>
      </c>
      <c r="T38" s="20">
        <f t="shared" si="5"/>
        <v>1</v>
      </c>
      <c r="U38" s="156"/>
      <c r="V38" s="156">
        <f t="shared" si="6"/>
        <v>0</v>
      </c>
    </row>
    <row r="39" spans="1:22" s="1" customFormat="1" ht="21" customHeight="1" x14ac:dyDescent="0.25">
      <c r="A39" s="99"/>
      <c r="B39" s="112" t="s">
        <v>86</v>
      </c>
      <c r="C39" s="28">
        <f>+C40</f>
        <v>3204</v>
      </c>
      <c r="D39" s="17">
        <f>+D40</f>
        <v>2578.0034730000002</v>
      </c>
      <c r="E39" s="18">
        <f t="shared" si="0"/>
        <v>0.8046203099250937</v>
      </c>
      <c r="F39" s="17">
        <f>+F40</f>
        <v>926.73380099999997</v>
      </c>
      <c r="G39" s="29">
        <f t="shared" si="1"/>
        <v>0.28924275936329585</v>
      </c>
      <c r="H39" s="117">
        <f>(+H40)</f>
        <v>3204</v>
      </c>
      <c r="I39" s="18"/>
      <c r="J39" s="17">
        <f>(+J40)</f>
        <v>1514.8</v>
      </c>
      <c r="K39" s="29"/>
      <c r="L39" s="28">
        <f>+L40</f>
        <v>3204</v>
      </c>
      <c r="M39" s="17">
        <f>+M40</f>
        <v>3140.2240700000002</v>
      </c>
      <c r="N39" s="18">
        <f t="shared" si="2"/>
        <v>0.98009490324594262</v>
      </c>
      <c r="O39" s="17">
        <f>+O40</f>
        <v>2779.1808599999999</v>
      </c>
      <c r="P39" s="29">
        <f t="shared" si="7"/>
        <v>0.86740975655430708</v>
      </c>
      <c r="Q39" s="117">
        <f>(+Q40)</f>
        <v>3204</v>
      </c>
      <c r="R39" s="18">
        <f t="shared" si="4"/>
        <v>1</v>
      </c>
      <c r="S39" s="17">
        <f>(+S40)</f>
        <v>3204</v>
      </c>
      <c r="T39" s="18">
        <f t="shared" si="5"/>
        <v>1</v>
      </c>
      <c r="U39" s="156"/>
      <c r="V39" s="156">
        <f t="shared" si="6"/>
        <v>0</v>
      </c>
    </row>
    <row r="40" spans="1:22" ht="22.5" x14ac:dyDescent="0.25">
      <c r="A40" s="101" t="s">
        <v>75</v>
      </c>
      <c r="B40" s="113" t="s">
        <v>117</v>
      </c>
      <c r="C40" s="30">
        <v>3204</v>
      </c>
      <c r="D40" s="19">
        <v>2578.0034730000002</v>
      </c>
      <c r="E40" s="20">
        <f t="shared" si="0"/>
        <v>0.8046203099250937</v>
      </c>
      <c r="F40" s="19">
        <v>926.73380099999997</v>
      </c>
      <c r="G40" s="22">
        <f t="shared" si="1"/>
        <v>0.28924275936329585</v>
      </c>
      <c r="H40" s="25">
        <v>3204</v>
      </c>
      <c r="I40" s="20">
        <v>1</v>
      </c>
      <c r="J40" s="19">
        <v>1514.8</v>
      </c>
      <c r="K40" s="22">
        <v>0.47278401997503122</v>
      </c>
      <c r="L40" s="30">
        <v>3204</v>
      </c>
      <c r="M40" s="19">
        <v>3140.2240700000002</v>
      </c>
      <c r="N40" s="20">
        <f t="shared" si="2"/>
        <v>0.98009490324594262</v>
      </c>
      <c r="O40" s="19">
        <v>2779.1808599999999</v>
      </c>
      <c r="P40" s="22">
        <f t="shared" si="7"/>
        <v>0.86740975655430708</v>
      </c>
      <c r="Q40" s="25">
        <v>3204</v>
      </c>
      <c r="R40" s="20">
        <f t="shared" si="4"/>
        <v>1</v>
      </c>
      <c r="S40" s="19">
        <v>3204</v>
      </c>
      <c r="T40" s="20">
        <f t="shared" si="5"/>
        <v>1</v>
      </c>
      <c r="U40" s="156"/>
      <c r="V40" s="156">
        <f t="shared" si="6"/>
        <v>0</v>
      </c>
    </row>
    <row r="41" spans="1:22" s="1" customFormat="1" ht="18.75" customHeight="1" x14ac:dyDescent="0.25">
      <c r="A41" s="99"/>
      <c r="B41" s="112" t="s">
        <v>118</v>
      </c>
      <c r="C41" s="28">
        <f>+C42+C43</f>
        <v>21300</v>
      </c>
      <c r="D41" s="17">
        <f>+D42+D43</f>
        <v>13223.713092</v>
      </c>
      <c r="E41" s="18">
        <f t="shared" si="0"/>
        <v>0.62083160056338027</v>
      </c>
      <c r="F41" s="17">
        <f>+F42+F43</f>
        <v>5639.3615752599999</v>
      </c>
      <c r="G41" s="29">
        <f t="shared" si="1"/>
        <v>0.26475875940187793</v>
      </c>
      <c r="H41" s="117">
        <f>(+H42+H43)</f>
        <v>14198.523591000001</v>
      </c>
      <c r="I41" s="18"/>
      <c r="J41" s="17">
        <f>(+J42+J43)</f>
        <v>7036.4389150000006</v>
      </c>
      <c r="K41" s="29"/>
      <c r="L41" s="28">
        <f>+L42+L43</f>
        <v>19857.364702999999</v>
      </c>
      <c r="M41" s="17">
        <f>+M42+M43</f>
        <v>17558.412438790001</v>
      </c>
      <c r="N41" s="18">
        <f t="shared" si="2"/>
        <v>0.88422671897330474</v>
      </c>
      <c r="O41" s="17">
        <f>+O42+O43</f>
        <v>15414.91497179</v>
      </c>
      <c r="P41" s="29">
        <f t="shared" si="7"/>
        <v>0.77628200933737967</v>
      </c>
      <c r="Q41" s="117">
        <f>(+Q42+Q43)</f>
        <v>19857.364702999999</v>
      </c>
      <c r="R41" s="18">
        <f t="shared" si="4"/>
        <v>1</v>
      </c>
      <c r="S41" s="17">
        <f>(+S42+S43)</f>
        <v>19835.630488999999</v>
      </c>
      <c r="T41" s="18">
        <f t="shared" si="5"/>
        <v>0.99890548346545116</v>
      </c>
      <c r="U41" s="156"/>
      <c r="V41" s="156">
        <f t="shared" si="6"/>
        <v>21.734214000000065</v>
      </c>
    </row>
    <row r="42" spans="1:22" ht="22.5" x14ac:dyDescent="0.25">
      <c r="A42" s="101" t="s">
        <v>56</v>
      </c>
      <c r="B42" s="113" t="s">
        <v>119</v>
      </c>
      <c r="C42" s="30">
        <v>9000</v>
      </c>
      <c r="D42" s="19">
        <v>5451.2971109999999</v>
      </c>
      <c r="E42" s="20">
        <f t="shared" si="0"/>
        <v>0.60569967899999999</v>
      </c>
      <c r="F42" s="19">
        <v>3498.6328308800003</v>
      </c>
      <c r="G42" s="22">
        <f t="shared" si="1"/>
        <v>0.38873698120888894</v>
      </c>
      <c r="H42" s="25">
        <v>7879.391404</v>
      </c>
      <c r="I42" s="20">
        <v>0.87548793377777778</v>
      </c>
      <c r="J42" s="19">
        <v>4175.6302100000003</v>
      </c>
      <c r="K42" s="22">
        <v>0.46395891222222224</v>
      </c>
      <c r="L42" s="30">
        <v>8711.7342140000001</v>
      </c>
      <c r="M42" s="19">
        <v>8138.3013985100006</v>
      </c>
      <c r="N42" s="20">
        <f t="shared" si="2"/>
        <v>0.93417696162395802</v>
      </c>
      <c r="O42" s="19">
        <v>7431.8967455100001</v>
      </c>
      <c r="P42" s="22">
        <f t="shared" si="7"/>
        <v>0.85309039083937321</v>
      </c>
      <c r="Q42" s="25">
        <v>8711.7342140000001</v>
      </c>
      <c r="R42" s="20">
        <f t="shared" si="4"/>
        <v>1</v>
      </c>
      <c r="S42" s="19">
        <v>8690</v>
      </c>
      <c r="T42" s="20">
        <f t="shared" si="5"/>
        <v>0.99750517939756789</v>
      </c>
      <c r="U42" s="156"/>
      <c r="V42" s="156">
        <f t="shared" si="6"/>
        <v>21.734214000000065</v>
      </c>
    </row>
    <row r="43" spans="1:22" ht="33.75" x14ac:dyDescent="0.25">
      <c r="A43" s="101" t="s">
        <v>58</v>
      </c>
      <c r="B43" s="113" t="s">
        <v>120</v>
      </c>
      <c r="C43" s="30">
        <v>12300</v>
      </c>
      <c r="D43" s="19">
        <v>7772.4159810000001</v>
      </c>
      <c r="E43" s="20">
        <f t="shared" si="0"/>
        <v>0.63190373829268298</v>
      </c>
      <c r="F43" s="19">
        <v>2140.7287443800001</v>
      </c>
      <c r="G43" s="22">
        <f t="shared" si="1"/>
        <v>0.1740429873479675</v>
      </c>
      <c r="H43" s="25">
        <v>6319.1321870000002</v>
      </c>
      <c r="I43" s="20">
        <v>0.51375058430894305</v>
      </c>
      <c r="J43" s="19">
        <v>2860.8087049999999</v>
      </c>
      <c r="K43" s="22">
        <v>0.23258607357723576</v>
      </c>
      <c r="L43" s="30">
        <v>11145.630488999999</v>
      </c>
      <c r="M43" s="19">
        <v>9420.1110402800005</v>
      </c>
      <c r="N43" s="20">
        <f t="shared" si="2"/>
        <v>0.84518422260427772</v>
      </c>
      <c r="O43" s="19">
        <v>7983.0182262799999</v>
      </c>
      <c r="P43" s="22">
        <f t="shared" si="7"/>
        <v>0.71624644600937659</v>
      </c>
      <c r="Q43" s="25">
        <v>11145.630488999999</v>
      </c>
      <c r="R43" s="20">
        <f t="shared" si="4"/>
        <v>1</v>
      </c>
      <c r="S43" s="19">
        <v>11145.630488999999</v>
      </c>
      <c r="T43" s="20">
        <f t="shared" si="5"/>
        <v>1</v>
      </c>
      <c r="U43" s="156"/>
      <c r="V43" s="156">
        <f t="shared" si="6"/>
        <v>0</v>
      </c>
    </row>
    <row r="44" spans="1:22" s="1" customFormat="1" ht="33.75" x14ac:dyDescent="0.25">
      <c r="A44" s="98"/>
      <c r="B44" s="114" t="s">
        <v>121</v>
      </c>
      <c r="C44" s="31">
        <f>+C45</f>
        <v>1101</v>
      </c>
      <c r="D44" s="16">
        <f>+D45</f>
        <v>619.66228599999999</v>
      </c>
      <c r="E44" s="15">
        <f>+D44/C44</f>
        <v>0.56281769845594909</v>
      </c>
      <c r="F44" s="16">
        <f>+F45</f>
        <v>285.61167599999999</v>
      </c>
      <c r="G44" s="21">
        <f t="shared" si="1"/>
        <v>0.25941114986376018</v>
      </c>
      <c r="H44" s="26">
        <f>(+H45)</f>
        <v>821</v>
      </c>
      <c r="I44" s="15"/>
      <c r="J44" s="16">
        <f>(+J45)</f>
        <v>636</v>
      </c>
      <c r="K44" s="21"/>
      <c r="L44" s="31">
        <f>+L45</f>
        <v>1101</v>
      </c>
      <c r="M44" s="16">
        <f>+M45</f>
        <v>724.23863800000004</v>
      </c>
      <c r="N44" s="15">
        <f>+M44/L44</f>
        <v>0.65780076112624886</v>
      </c>
      <c r="O44" s="16">
        <f>+O45</f>
        <v>611.19334700000002</v>
      </c>
      <c r="P44" s="21">
        <f t="shared" si="7"/>
        <v>0.55512565576748407</v>
      </c>
      <c r="Q44" s="26">
        <f>(+Q45)</f>
        <v>1101</v>
      </c>
      <c r="R44" s="15">
        <f t="shared" si="4"/>
        <v>1</v>
      </c>
      <c r="S44" s="16">
        <f>(+S45)</f>
        <v>1101</v>
      </c>
      <c r="T44" s="15">
        <f t="shared" si="5"/>
        <v>1</v>
      </c>
      <c r="U44" s="156"/>
      <c r="V44" s="156">
        <f t="shared" si="6"/>
        <v>0</v>
      </c>
    </row>
    <row r="45" spans="1:22" ht="22.5" x14ac:dyDescent="0.25">
      <c r="A45" s="101" t="s">
        <v>66</v>
      </c>
      <c r="B45" s="113" t="s">
        <v>122</v>
      </c>
      <c r="C45" s="30">
        <v>1101</v>
      </c>
      <c r="D45" s="19">
        <v>619.66228599999999</v>
      </c>
      <c r="E45" s="20">
        <f>+D45/C45</f>
        <v>0.56281769845594909</v>
      </c>
      <c r="F45" s="19">
        <v>285.61167599999999</v>
      </c>
      <c r="G45" s="22">
        <f t="shared" si="1"/>
        <v>0.25941114986376018</v>
      </c>
      <c r="H45" s="25">
        <v>821</v>
      </c>
      <c r="I45" s="20">
        <v>0.65627498001598716</v>
      </c>
      <c r="J45" s="19">
        <v>636</v>
      </c>
      <c r="K45" s="22">
        <v>0.50839328537170259</v>
      </c>
      <c r="L45" s="30">
        <v>1101</v>
      </c>
      <c r="M45" s="19">
        <v>724.23863800000004</v>
      </c>
      <c r="N45" s="20">
        <f>+M45/L45</f>
        <v>0.65780076112624886</v>
      </c>
      <c r="O45" s="19">
        <v>611.19334700000002</v>
      </c>
      <c r="P45" s="22">
        <f t="shared" si="7"/>
        <v>0.55512565576748407</v>
      </c>
      <c r="Q45" s="25">
        <v>1101</v>
      </c>
      <c r="R45" s="20">
        <f t="shared" si="4"/>
        <v>1</v>
      </c>
      <c r="S45" s="19">
        <v>1101</v>
      </c>
      <c r="T45" s="20">
        <f t="shared" si="5"/>
        <v>1</v>
      </c>
      <c r="U45" s="156"/>
      <c r="V45" s="156">
        <f t="shared" si="6"/>
        <v>0</v>
      </c>
    </row>
    <row r="46" spans="1:22" s="1" customFormat="1" ht="21" customHeight="1" x14ac:dyDescent="0.25">
      <c r="A46" s="98"/>
      <c r="B46" s="114" t="s">
        <v>274</v>
      </c>
      <c r="C46" s="31">
        <f>+C47</f>
        <v>888</v>
      </c>
      <c r="D46" s="16">
        <f>+D47</f>
        <v>31</v>
      </c>
      <c r="E46" s="15">
        <f>+D46/C46</f>
        <v>3.4909909909909907E-2</v>
      </c>
      <c r="F46" s="16">
        <f>+F47</f>
        <v>0</v>
      </c>
      <c r="G46" s="21">
        <f t="shared" si="1"/>
        <v>0</v>
      </c>
      <c r="H46" s="26">
        <f>+H47</f>
        <v>0</v>
      </c>
      <c r="I46" s="15">
        <v>0</v>
      </c>
      <c r="J46" s="16">
        <f>+J47</f>
        <v>0</v>
      </c>
      <c r="K46" s="21">
        <v>0</v>
      </c>
      <c r="L46" s="31">
        <f>+L47</f>
        <v>249.69</v>
      </c>
      <c r="M46" s="16">
        <f>+M47</f>
        <v>167.73215099999999</v>
      </c>
      <c r="N46" s="15">
        <f>+M46/L46</f>
        <v>0.67176158836957822</v>
      </c>
      <c r="O46" s="16">
        <f>+O47</f>
        <v>132.07590500000001</v>
      </c>
      <c r="P46" s="21">
        <f t="shared" si="7"/>
        <v>0.52895952981697303</v>
      </c>
      <c r="Q46" s="26">
        <f>+Q47</f>
        <v>249.69</v>
      </c>
      <c r="R46" s="15">
        <f t="shared" si="4"/>
        <v>1</v>
      </c>
      <c r="S46" s="16">
        <f>+S47</f>
        <v>249.69</v>
      </c>
      <c r="T46" s="15">
        <f t="shared" si="5"/>
        <v>1</v>
      </c>
      <c r="U46" s="156"/>
      <c r="V46" s="156">
        <f t="shared" si="6"/>
        <v>0</v>
      </c>
    </row>
    <row r="47" spans="1:22" ht="33.75" x14ac:dyDescent="0.25">
      <c r="A47" s="101" t="s">
        <v>275</v>
      </c>
      <c r="B47" s="113" t="s">
        <v>277</v>
      </c>
      <c r="C47" s="30">
        <v>888</v>
      </c>
      <c r="D47" s="19">
        <v>31</v>
      </c>
      <c r="E47" s="20">
        <f>+D47/C47</f>
        <v>3.4909909909909907E-2</v>
      </c>
      <c r="F47" s="19">
        <v>0</v>
      </c>
      <c r="G47" s="22">
        <f t="shared" si="1"/>
        <v>0</v>
      </c>
      <c r="H47" s="25">
        <v>0</v>
      </c>
      <c r="I47" s="20">
        <v>0</v>
      </c>
      <c r="J47" s="19">
        <v>0</v>
      </c>
      <c r="K47" s="22">
        <v>0</v>
      </c>
      <c r="L47" s="30">
        <v>249.69</v>
      </c>
      <c r="M47" s="19">
        <v>167.73215099999999</v>
      </c>
      <c r="N47" s="20">
        <f>+M47/L47</f>
        <v>0.67176158836957822</v>
      </c>
      <c r="O47" s="19">
        <v>132.07590500000001</v>
      </c>
      <c r="P47" s="22">
        <f t="shared" si="7"/>
        <v>0.52895952981697303</v>
      </c>
      <c r="Q47" s="25">
        <v>249.69</v>
      </c>
      <c r="R47" s="20">
        <f t="shared" si="4"/>
        <v>1</v>
      </c>
      <c r="S47" s="19">
        <v>249.69</v>
      </c>
      <c r="T47" s="20">
        <f t="shared" si="5"/>
        <v>1</v>
      </c>
      <c r="U47" s="156"/>
      <c r="V47" s="156">
        <f t="shared" si="6"/>
        <v>0</v>
      </c>
    </row>
    <row r="48" spans="1:22" s="1" customFormat="1" ht="21" customHeight="1" x14ac:dyDescent="0.25">
      <c r="A48" s="98"/>
      <c r="B48" s="114" t="s">
        <v>87</v>
      </c>
      <c r="C48" s="31">
        <f>+C49+C50</f>
        <v>13400</v>
      </c>
      <c r="D48" s="16">
        <f>+D49+D50</f>
        <v>8473</v>
      </c>
      <c r="E48" s="15">
        <f t="shared" si="0"/>
        <v>0.63231343283582087</v>
      </c>
      <c r="F48" s="16">
        <f>+F49+F50</f>
        <v>6719</v>
      </c>
      <c r="G48" s="21">
        <f t="shared" si="1"/>
        <v>0.50141791044776118</v>
      </c>
      <c r="H48" s="26">
        <f>(+H49+H50)</f>
        <v>12230.835499500001</v>
      </c>
      <c r="I48" s="15"/>
      <c r="J48" s="16">
        <f>(+J49+J50)</f>
        <v>8804.6194935476196</v>
      </c>
      <c r="K48" s="21"/>
      <c r="L48" s="31">
        <f>+L49+L50</f>
        <v>13400</v>
      </c>
      <c r="M48" s="16">
        <f>+M49+M50</f>
        <v>11848.949408</v>
      </c>
      <c r="N48" s="15">
        <f t="shared" ref="N48:N51" si="8">+M48/L48</f>
        <v>0.88424995582089561</v>
      </c>
      <c r="O48" s="16">
        <f>+O49+O50</f>
        <v>11518.569378</v>
      </c>
      <c r="P48" s="21">
        <f t="shared" si="7"/>
        <v>0.85959472970149253</v>
      </c>
      <c r="Q48" s="26">
        <f>(+Q49+Q50)</f>
        <v>13400</v>
      </c>
      <c r="R48" s="15">
        <f t="shared" si="4"/>
        <v>1</v>
      </c>
      <c r="S48" s="16">
        <f>(+S49+S50)</f>
        <v>13180</v>
      </c>
      <c r="T48" s="15">
        <f t="shared" si="5"/>
        <v>0.9835820895522388</v>
      </c>
      <c r="U48" s="156"/>
      <c r="V48" s="156">
        <f t="shared" si="6"/>
        <v>220</v>
      </c>
    </row>
    <row r="49" spans="1:22" ht="22.5" x14ac:dyDescent="0.25">
      <c r="A49" s="101" t="s">
        <v>72</v>
      </c>
      <c r="B49" s="113" t="s">
        <v>123</v>
      </c>
      <c r="C49" s="30">
        <v>2400</v>
      </c>
      <c r="D49" s="19">
        <v>2030</v>
      </c>
      <c r="E49" s="20">
        <f t="shared" si="0"/>
        <v>0.84583333333333333</v>
      </c>
      <c r="F49" s="19">
        <v>1186</v>
      </c>
      <c r="G49" s="22">
        <f t="shared" si="1"/>
        <v>0.49416666666666664</v>
      </c>
      <c r="H49" s="25">
        <v>2180</v>
      </c>
      <c r="I49" s="20">
        <v>0.90833333333333333</v>
      </c>
      <c r="J49" s="19">
        <v>1383</v>
      </c>
      <c r="K49" s="22">
        <v>0.57625000000000004</v>
      </c>
      <c r="L49" s="30">
        <v>2400</v>
      </c>
      <c r="M49" s="19">
        <v>2299.955551</v>
      </c>
      <c r="N49" s="20">
        <f t="shared" si="8"/>
        <v>0.95831481291666665</v>
      </c>
      <c r="O49" s="19">
        <v>2156.1483469999998</v>
      </c>
      <c r="P49" s="22">
        <f t="shared" si="7"/>
        <v>0.89839514458333325</v>
      </c>
      <c r="Q49" s="25">
        <v>2400</v>
      </c>
      <c r="R49" s="20">
        <f t="shared" si="4"/>
        <v>1</v>
      </c>
      <c r="S49" s="19">
        <v>2180</v>
      </c>
      <c r="T49" s="20">
        <f t="shared" si="5"/>
        <v>0.90833333333333333</v>
      </c>
      <c r="U49" s="156"/>
      <c r="V49" s="156">
        <f t="shared" si="6"/>
        <v>220</v>
      </c>
    </row>
    <row r="50" spans="1:22" s="1" customFormat="1" ht="22.5" x14ac:dyDescent="0.25">
      <c r="A50" s="99"/>
      <c r="B50" s="112" t="s">
        <v>124</v>
      </c>
      <c r="C50" s="28">
        <f>+C51</f>
        <v>11000</v>
      </c>
      <c r="D50" s="17">
        <f>+D51</f>
        <v>6443</v>
      </c>
      <c r="E50" s="18">
        <f t="shared" si="0"/>
        <v>0.58572727272727276</v>
      </c>
      <c r="F50" s="17">
        <f>+F51</f>
        <v>5533</v>
      </c>
      <c r="G50" s="29">
        <f t="shared" si="1"/>
        <v>0.503</v>
      </c>
      <c r="H50" s="117">
        <f>(+H51)</f>
        <v>10050.835499500001</v>
      </c>
      <c r="I50" s="18"/>
      <c r="J50" s="17">
        <f>(+J51)</f>
        <v>7421.6194935476187</v>
      </c>
      <c r="K50" s="29"/>
      <c r="L50" s="28">
        <f>+L51</f>
        <v>11000</v>
      </c>
      <c r="M50" s="17">
        <f>+M51</f>
        <v>9548.9938569999995</v>
      </c>
      <c r="N50" s="18">
        <f t="shared" si="8"/>
        <v>0.86809035063636364</v>
      </c>
      <c r="O50" s="17">
        <f>+O51</f>
        <v>9362.4210309999999</v>
      </c>
      <c r="P50" s="29">
        <f t="shared" si="7"/>
        <v>0.85112918463636367</v>
      </c>
      <c r="Q50" s="117">
        <f>(+Q51)</f>
        <v>11000</v>
      </c>
      <c r="R50" s="18">
        <f t="shared" si="4"/>
        <v>1</v>
      </c>
      <c r="S50" s="17">
        <f>(+S51)</f>
        <v>11000</v>
      </c>
      <c r="T50" s="18">
        <f t="shared" si="5"/>
        <v>1</v>
      </c>
      <c r="U50" s="156"/>
      <c r="V50" s="156">
        <f t="shared" si="6"/>
        <v>0</v>
      </c>
    </row>
    <row r="51" spans="1:22" ht="23.25" thickBot="1" x14ac:dyDescent="0.3">
      <c r="A51" s="106" t="s">
        <v>69</v>
      </c>
      <c r="B51" s="115" t="s">
        <v>125</v>
      </c>
      <c r="C51" s="120">
        <v>11000</v>
      </c>
      <c r="D51" s="107">
        <v>6443</v>
      </c>
      <c r="E51" s="108">
        <f t="shared" si="0"/>
        <v>0.58572727272727276</v>
      </c>
      <c r="F51" s="107">
        <v>5533</v>
      </c>
      <c r="G51" s="109">
        <f t="shared" si="1"/>
        <v>0.503</v>
      </c>
      <c r="H51" s="118">
        <v>10050.835499500001</v>
      </c>
      <c r="I51" s="108">
        <v>0.91371231813636367</v>
      </c>
      <c r="J51" s="107">
        <v>7421.6194935476187</v>
      </c>
      <c r="K51" s="109">
        <v>0.67469268123160175</v>
      </c>
      <c r="L51" s="120">
        <v>11000</v>
      </c>
      <c r="M51" s="107">
        <v>9548.9938569999995</v>
      </c>
      <c r="N51" s="108">
        <f t="shared" si="8"/>
        <v>0.86809035063636364</v>
      </c>
      <c r="O51" s="107">
        <v>9362.4210309999999</v>
      </c>
      <c r="P51" s="109">
        <f t="shared" si="7"/>
        <v>0.85112918463636367</v>
      </c>
      <c r="Q51" s="118">
        <v>11000</v>
      </c>
      <c r="R51" s="108">
        <f t="shared" si="4"/>
        <v>1</v>
      </c>
      <c r="S51" s="107">
        <v>11000</v>
      </c>
      <c r="T51" s="108">
        <f t="shared" si="5"/>
        <v>1</v>
      </c>
      <c r="U51" s="156"/>
      <c r="V51" s="156">
        <f t="shared" si="6"/>
        <v>0</v>
      </c>
    </row>
    <row r="52" spans="1:22" s="14" customFormat="1" ht="22.5" customHeight="1" thickTop="1" thickBot="1" x14ac:dyDescent="0.3">
      <c r="A52" s="102"/>
      <c r="B52" s="116" t="s">
        <v>77</v>
      </c>
      <c r="C52" s="121">
        <f>+C48+C44+C36+C6+C46</f>
        <v>627373</v>
      </c>
      <c r="D52" s="103">
        <f>+D48+D44+D36+D6+D46</f>
        <v>373679.38809753006</v>
      </c>
      <c r="E52" s="104">
        <f>+D52/C52</f>
        <v>0.59562554986830807</v>
      </c>
      <c r="F52" s="103">
        <f>+F48+F44+F36+F6+F46</f>
        <v>135632.82453699998</v>
      </c>
      <c r="G52" s="105">
        <f>+F52/C52</f>
        <v>0.2161916826784066</v>
      </c>
      <c r="H52" s="119">
        <f>+H48+H44+H36+H6+H46</f>
        <v>524369.40575749998</v>
      </c>
      <c r="I52" s="104" t="s">
        <v>276</v>
      </c>
      <c r="J52" s="103">
        <f>+J48+J44+J36+J6+J46</f>
        <v>275946.39325598767</v>
      </c>
      <c r="K52" s="105">
        <v>0.44</v>
      </c>
      <c r="L52" s="121">
        <f>+L48+L44+L36+L6+L46</f>
        <v>542613.97993199981</v>
      </c>
      <c r="M52" s="103">
        <f>+M48+M44+M36+M6+M46</f>
        <v>517277.76689576998</v>
      </c>
      <c r="N52" s="104">
        <f>+M52/L52</f>
        <v>0.95330711339319907</v>
      </c>
      <c r="O52" s="103">
        <f>+O48+O44+O36+O6+O46</f>
        <v>313926.75964637997</v>
      </c>
      <c r="P52" s="105">
        <f>+O52/L52</f>
        <v>0.57854528496615798</v>
      </c>
      <c r="Q52" s="119">
        <f>+Q48+Q44+Q36+Q6+Q46</f>
        <v>541112.30439199996</v>
      </c>
      <c r="R52" s="104">
        <f t="shared" si="4"/>
        <v>0.99723251594035955</v>
      </c>
      <c r="S52" s="103">
        <f>+S48+S44+S36+S6+S46</f>
        <v>534433.81805299991</v>
      </c>
      <c r="T52" s="104">
        <f t="shared" si="5"/>
        <v>0.98492452796733132</v>
      </c>
      <c r="U52" s="156"/>
      <c r="V52" s="156">
        <f t="shared" si="6"/>
        <v>6678.4863390000537</v>
      </c>
    </row>
    <row r="53" spans="1:22" ht="12" thickTop="1" x14ac:dyDescent="0.25">
      <c r="N53" s="190"/>
      <c r="P53" s="190"/>
    </row>
  </sheetData>
  <mergeCells count="6">
    <mergeCell ref="L4:P4"/>
    <mergeCell ref="Q4:T4"/>
    <mergeCell ref="A4:A5"/>
    <mergeCell ref="B4:B5"/>
    <mergeCell ref="C4:G4"/>
    <mergeCell ref="H4:K4"/>
  </mergeCells>
  <printOptions horizontalCentered="1" verticalCentered="1"/>
  <pageMargins left="0.31496062992125984" right="0.31496062992125984" top="0.55118110236220474" bottom="0.55118110236220474" header="0.31496062992125984" footer="0.31496062992125984"/>
  <pageSetup scale="85" orientation="portrait" r:id="rId1"/>
  <ignoredErrors>
    <ignoredError sqref="N4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8"/>
  </sheetPr>
  <dimension ref="A1:U51"/>
  <sheetViews>
    <sheetView workbookViewId="0">
      <pane xSplit="1" ySplit="6" topLeftCell="K37" activePane="bottomRight" state="frozen"/>
      <selection pane="topRight" activeCell="D1" sqref="D1"/>
      <selection pane="bottomLeft" activeCell="A6" sqref="A6"/>
      <selection pane="bottomRight" activeCell="K52" sqref="K52"/>
    </sheetView>
  </sheetViews>
  <sheetFormatPr baseColWidth="10" defaultRowHeight="11.25" x14ac:dyDescent="0.25"/>
  <cols>
    <col min="1" max="1" width="30.42578125" style="60" customWidth="1"/>
    <col min="2" max="2" width="11.140625" style="11" hidden="1" customWidth="1"/>
    <col min="3" max="3" width="11.5703125" style="11" hidden="1" customWidth="1"/>
    <col min="4" max="4" width="8.140625" style="10" hidden="1" customWidth="1"/>
    <col min="5" max="5" width="11" style="11" hidden="1" customWidth="1"/>
    <col min="6" max="6" width="10.28515625" style="10" hidden="1" customWidth="1"/>
    <col min="7" max="7" width="11.5703125" style="11" hidden="1" customWidth="1"/>
    <col min="8" max="8" width="6" style="10" hidden="1" customWidth="1"/>
    <col min="9" max="9" width="11" style="11" hidden="1" customWidth="1"/>
    <col min="10" max="10" width="8.140625" style="10" hidden="1" customWidth="1"/>
    <col min="11" max="11" width="11.140625" style="11" bestFit="1" customWidth="1"/>
    <col min="12" max="12" width="11.5703125" style="11" bestFit="1" customWidth="1"/>
    <col min="13" max="13" width="7.28515625" style="10" customWidth="1"/>
    <col min="14" max="14" width="11" style="11" bestFit="1" customWidth="1"/>
    <col min="15" max="15" width="7" style="10" customWidth="1"/>
    <col min="16" max="16" width="11.5703125" style="11" bestFit="1" customWidth="1"/>
    <col min="17" max="17" width="6.85546875" style="10" customWidth="1"/>
    <col min="18" max="18" width="11" style="11" bestFit="1" customWidth="1"/>
    <col min="19" max="19" width="8.140625" style="10" customWidth="1"/>
    <col min="20" max="20" width="11.42578125" style="157"/>
    <col min="21" max="16384" width="11.42578125" style="9"/>
  </cols>
  <sheetData>
    <row r="1" spans="1:21" ht="15" x14ac:dyDescent="0.25">
      <c r="A1" s="61" t="s">
        <v>129</v>
      </c>
      <c r="B1" s="154"/>
      <c r="K1" s="154"/>
    </row>
    <row r="2" spans="1:21" ht="15" x14ac:dyDescent="0.25">
      <c r="A2" s="97" t="s">
        <v>269</v>
      </c>
    </row>
    <row r="3" spans="1:21" ht="12" thickBot="1" x14ac:dyDescent="0.3"/>
    <row r="4" spans="1:21" s="4" customFormat="1" ht="33.75" customHeight="1" thickTop="1" thickBot="1" x14ac:dyDescent="0.3">
      <c r="A4" s="165" t="s">
        <v>0</v>
      </c>
      <c r="B4" s="163" t="s">
        <v>272</v>
      </c>
      <c r="C4" s="163"/>
      <c r="D4" s="163"/>
      <c r="E4" s="163"/>
      <c r="F4" s="163"/>
      <c r="G4" s="164" t="s">
        <v>273</v>
      </c>
      <c r="H4" s="163"/>
      <c r="I4" s="163"/>
      <c r="J4" s="163"/>
      <c r="K4" s="163" t="s">
        <v>327</v>
      </c>
      <c r="L4" s="163"/>
      <c r="M4" s="163"/>
      <c r="N4" s="163"/>
      <c r="O4" s="163"/>
      <c r="P4" s="164" t="s">
        <v>331</v>
      </c>
      <c r="Q4" s="163"/>
      <c r="R4" s="163"/>
      <c r="S4" s="163"/>
      <c r="T4" s="158"/>
    </row>
    <row r="5" spans="1:21" s="4" customFormat="1" ht="24" thickTop="1" thickBot="1" x14ac:dyDescent="0.3">
      <c r="A5" s="165"/>
      <c r="B5" s="2" t="s">
        <v>89</v>
      </c>
      <c r="C5" s="2" t="s">
        <v>79</v>
      </c>
      <c r="D5" s="3" t="s">
        <v>80</v>
      </c>
      <c r="E5" s="2" t="s">
        <v>81</v>
      </c>
      <c r="F5" s="3" t="s">
        <v>80</v>
      </c>
      <c r="G5" s="24" t="s">
        <v>79</v>
      </c>
      <c r="H5" s="3" t="s">
        <v>80</v>
      </c>
      <c r="I5" s="2" t="s">
        <v>81</v>
      </c>
      <c r="J5" s="3" t="s">
        <v>80</v>
      </c>
      <c r="K5" s="2" t="s">
        <v>89</v>
      </c>
      <c r="L5" s="2" t="s">
        <v>79</v>
      </c>
      <c r="M5" s="3" t="s">
        <v>80</v>
      </c>
      <c r="N5" s="2" t="s">
        <v>81</v>
      </c>
      <c r="O5" s="3" t="s">
        <v>80</v>
      </c>
      <c r="P5" s="24" t="s">
        <v>79</v>
      </c>
      <c r="Q5" s="3" t="s">
        <v>80</v>
      </c>
      <c r="R5" s="2" t="s">
        <v>81</v>
      </c>
      <c r="S5" s="3" t="s">
        <v>80</v>
      </c>
      <c r="T5" s="158"/>
    </row>
    <row r="6" spans="1:21" s="1" customFormat="1" ht="33" customHeight="1" thickTop="1" x14ac:dyDescent="0.25">
      <c r="A6" s="35" t="s">
        <v>126</v>
      </c>
      <c r="B6" s="27">
        <f>SUM(B7:B29)</f>
        <v>436531.50930400012</v>
      </c>
      <c r="C6" s="5">
        <f>SUM(C7:C29)</f>
        <v>291936.60498353001</v>
      </c>
      <c r="D6" s="6">
        <f t="shared" ref="D6:D43" si="0">+C6/B6</f>
        <v>0.66876410696902444</v>
      </c>
      <c r="E6" s="5">
        <f>SUM(E7:E29)</f>
        <v>92453.672463740004</v>
      </c>
      <c r="F6" s="7">
        <f t="shared" ref="F6:F43" si="1">+E6/B6</f>
        <v>0.21179152132946114</v>
      </c>
      <c r="G6" s="8">
        <f>SUM(G7:G29)</f>
        <v>426752.733305</v>
      </c>
      <c r="H6" s="6"/>
      <c r="I6" s="5">
        <f>SUM(I7:I29)</f>
        <v>215067.36099243999</v>
      </c>
      <c r="J6" s="7"/>
      <c r="K6" s="27">
        <f>SUM(K7:K29)</f>
        <v>436531.50930400012</v>
      </c>
      <c r="L6" s="5">
        <f>SUM(L7:L29)</f>
        <v>417621.79924697999</v>
      </c>
      <c r="M6" s="6">
        <f t="shared" ref="M6" si="2">+L6/K6</f>
        <v>0.95668191263634206</v>
      </c>
      <c r="N6" s="5">
        <f>SUM(N7:N29)</f>
        <v>223276.17763259003</v>
      </c>
      <c r="O6" s="7">
        <f t="shared" ref="O6" si="3">+N6/K6</f>
        <v>0.51147780371817497</v>
      </c>
      <c r="P6" s="8">
        <f>SUM(P7:P29)</f>
        <v>435029.83376400004</v>
      </c>
      <c r="Q6" s="6">
        <f>P6/K6</f>
        <v>0.99655998362547915</v>
      </c>
      <c r="R6" s="5">
        <f>SUM(R7:R29)</f>
        <v>430489.778651</v>
      </c>
      <c r="S6" s="6">
        <f>R6/K6</f>
        <v>0.98615969174222273</v>
      </c>
      <c r="T6" s="159"/>
      <c r="U6" s="156"/>
    </row>
    <row r="7" spans="1:21" ht="33.75" x14ac:dyDescent="0.25">
      <c r="A7" s="36" t="s">
        <v>18</v>
      </c>
      <c r="B7" s="30">
        <v>23576.379884000002</v>
      </c>
      <c r="C7" s="19">
        <v>18622.576377000001</v>
      </c>
      <c r="D7" s="20">
        <f>+C7/B7</f>
        <v>0.78988277541447849</v>
      </c>
      <c r="E7" s="19">
        <v>4691.0895559999999</v>
      </c>
      <c r="F7" s="22">
        <f>+E7/B7</f>
        <v>0.19897412491150032</v>
      </c>
      <c r="G7" s="25">
        <v>12335.059052000001</v>
      </c>
      <c r="H7" s="20">
        <v>0.52056913472453292</v>
      </c>
      <c r="I7" s="19">
        <v>12335.059052000001</v>
      </c>
      <c r="J7" s="22">
        <v>0.52056913472453292</v>
      </c>
      <c r="K7" s="30">
        <v>23576.379884000002</v>
      </c>
      <c r="L7" s="19">
        <v>23534.278008000001</v>
      </c>
      <c r="M7" s="20">
        <f>+L7/K7</f>
        <v>0.99821423491616823</v>
      </c>
      <c r="N7" s="19">
        <v>11318.537039000001</v>
      </c>
      <c r="O7" s="22">
        <f>+N7/K7</f>
        <v>0.48007951579883018</v>
      </c>
      <c r="P7" s="25">
        <v>23576.379884000002</v>
      </c>
      <c r="Q7" s="20">
        <f t="shared" ref="Q7:Q44" si="4">P7/K7</f>
        <v>1</v>
      </c>
      <c r="R7" s="19">
        <v>23576.379884000002</v>
      </c>
      <c r="S7" s="20">
        <f t="shared" ref="S7:S44" si="5">R7/K7</f>
        <v>1</v>
      </c>
      <c r="U7" s="156"/>
    </row>
    <row r="8" spans="1:21" ht="22.5" x14ac:dyDescent="0.25">
      <c r="A8" s="36" t="s">
        <v>73</v>
      </c>
      <c r="B8" s="30">
        <v>2400</v>
      </c>
      <c r="C8" s="19">
        <v>2501.4656258</v>
      </c>
      <c r="D8" s="20">
        <f t="shared" si="0"/>
        <v>1.0422773440833333</v>
      </c>
      <c r="E8" s="19">
        <v>525.30621499999995</v>
      </c>
      <c r="F8" s="22">
        <f t="shared" si="1"/>
        <v>0.21887758958333331</v>
      </c>
      <c r="G8" s="25">
        <v>2250</v>
      </c>
      <c r="H8" s="20">
        <v>0.5</v>
      </c>
      <c r="I8" s="19">
        <v>1350</v>
      </c>
      <c r="J8" s="22">
        <v>0.3</v>
      </c>
      <c r="K8" s="30">
        <v>2400</v>
      </c>
      <c r="L8" s="19">
        <v>2299.955551</v>
      </c>
      <c r="M8" s="20">
        <f t="shared" ref="M8:M33" si="6">+L8/K8</f>
        <v>0.95831481291666665</v>
      </c>
      <c r="N8" s="19">
        <v>2156.1483469999998</v>
      </c>
      <c r="O8" s="22">
        <f t="shared" ref="O8:O33" si="7">+N8/K8</f>
        <v>0.89839514458333325</v>
      </c>
      <c r="P8" s="25">
        <v>2400</v>
      </c>
      <c r="Q8" s="20">
        <f t="shared" si="4"/>
        <v>1</v>
      </c>
      <c r="R8" s="19">
        <v>2180</v>
      </c>
      <c r="S8" s="20">
        <f t="shared" si="5"/>
        <v>0.90833333333333333</v>
      </c>
      <c r="U8" s="156"/>
    </row>
    <row r="9" spans="1:21" ht="34.5" customHeight="1" x14ac:dyDescent="0.25">
      <c r="A9" s="36" t="s">
        <v>20</v>
      </c>
      <c r="B9" s="30">
        <v>12000</v>
      </c>
      <c r="C9" s="19">
        <v>458.14810599999998</v>
      </c>
      <c r="D9" s="20">
        <f t="shared" si="0"/>
        <v>3.8179008833333333E-2</v>
      </c>
      <c r="E9" s="19">
        <v>131.10945000000001</v>
      </c>
      <c r="F9" s="22">
        <f t="shared" si="1"/>
        <v>1.0925787500000001E-2</v>
      </c>
      <c r="G9" s="25">
        <v>3125</v>
      </c>
      <c r="H9" s="20">
        <v>0.6266292360136354</v>
      </c>
      <c r="I9" s="19">
        <v>971.1</v>
      </c>
      <c r="J9" s="22">
        <v>0.19472628834970923</v>
      </c>
      <c r="K9" s="30">
        <v>12000</v>
      </c>
      <c r="L9" s="19">
        <v>10304.400987999999</v>
      </c>
      <c r="M9" s="20">
        <f t="shared" si="6"/>
        <v>0.85870008233333328</v>
      </c>
      <c r="N9" s="19">
        <v>8526.3942869999992</v>
      </c>
      <c r="O9" s="22">
        <f t="shared" si="7"/>
        <v>0.71053285724999993</v>
      </c>
      <c r="P9" s="25">
        <v>12000</v>
      </c>
      <c r="Q9" s="20">
        <f t="shared" si="4"/>
        <v>1</v>
      </c>
      <c r="R9" s="19">
        <v>12000</v>
      </c>
      <c r="S9" s="20">
        <f t="shared" si="5"/>
        <v>1</v>
      </c>
      <c r="U9" s="156"/>
    </row>
    <row r="10" spans="1:21" ht="30" customHeight="1" x14ac:dyDescent="0.25">
      <c r="A10" s="36" t="s">
        <v>3</v>
      </c>
      <c r="B10" s="30">
        <f>146920+29307</f>
        <v>176227</v>
      </c>
      <c r="C10" s="19">
        <v>1833.1303290000001</v>
      </c>
      <c r="D10" s="20">
        <f t="shared" si="0"/>
        <v>1.0402096892076697E-2</v>
      </c>
      <c r="E10" s="19">
        <v>0</v>
      </c>
      <c r="F10" s="22">
        <f t="shared" si="1"/>
        <v>0</v>
      </c>
      <c r="G10" s="25">
        <v>1850</v>
      </c>
      <c r="H10" s="20">
        <v>0.15416666666666667</v>
      </c>
      <c r="I10" s="19">
        <v>555</v>
      </c>
      <c r="J10" s="22">
        <v>4.6249999999999999E-2</v>
      </c>
      <c r="K10" s="30">
        <f>146920+29307</f>
        <v>176227</v>
      </c>
      <c r="L10" s="19">
        <f>145909.029225+29306.5</f>
        <v>175215.52922500001</v>
      </c>
      <c r="M10" s="20">
        <f t="shared" si="6"/>
        <v>0.99426040972722685</v>
      </c>
      <c r="N10" s="19">
        <f>48712.730835+29306.5</f>
        <v>78019.230834999995</v>
      </c>
      <c r="O10" s="22">
        <f t="shared" si="7"/>
        <v>0.44272007600991897</v>
      </c>
      <c r="P10" s="25">
        <v>176227</v>
      </c>
      <c r="Q10" s="20">
        <f t="shared" si="4"/>
        <v>1</v>
      </c>
      <c r="R10" s="19">
        <v>176227</v>
      </c>
      <c r="S10" s="20">
        <f t="shared" si="5"/>
        <v>1</v>
      </c>
      <c r="U10" s="156"/>
    </row>
    <row r="11" spans="1:21" ht="31.5" customHeight="1" x14ac:dyDescent="0.25">
      <c r="A11" s="36" t="s">
        <v>22</v>
      </c>
      <c r="B11" s="30">
        <v>5178.348919</v>
      </c>
      <c r="C11" s="19">
        <v>3023.0988219999999</v>
      </c>
      <c r="D11" s="20">
        <f t="shared" si="0"/>
        <v>0.5837958911783403</v>
      </c>
      <c r="E11" s="19">
        <v>52.496963999999998</v>
      </c>
      <c r="F11" s="22">
        <f t="shared" si="1"/>
        <v>1.0137780366128318E-2</v>
      </c>
      <c r="G11" s="25">
        <v>3750</v>
      </c>
      <c r="H11" s="20">
        <v>1</v>
      </c>
      <c r="I11" s="19">
        <v>3400.0868209999999</v>
      </c>
      <c r="J11" s="22">
        <v>0.90668981893333334</v>
      </c>
      <c r="K11" s="30">
        <v>5178.348919</v>
      </c>
      <c r="L11" s="19">
        <v>5133.7842609999998</v>
      </c>
      <c r="M11" s="20">
        <f t="shared" si="6"/>
        <v>0.99139404109358353</v>
      </c>
      <c r="N11" s="19">
        <v>4699.6403410000003</v>
      </c>
      <c r="O11" s="22">
        <f t="shared" si="7"/>
        <v>0.90755575078311945</v>
      </c>
      <c r="P11" s="25">
        <v>5178.348919</v>
      </c>
      <c r="Q11" s="20">
        <f t="shared" si="4"/>
        <v>1</v>
      </c>
      <c r="R11" s="19">
        <v>5178.348919</v>
      </c>
      <c r="S11" s="20">
        <f t="shared" si="5"/>
        <v>1</v>
      </c>
      <c r="U11" s="156"/>
    </row>
    <row r="12" spans="1:21" ht="33.75" x14ac:dyDescent="0.25">
      <c r="A12" s="36" t="s">
        <v>40</v>
      </c>
      <c r="B12" s="30">
        <v>7630.0600059999997</v>
      </c>
      <c r="C12" s="19">
        <v>3819.7490819999998</v>
      </c>
      <c r="D12" s="20">
        <f t="shared" si="0"/>
        <v>0.50061848517525276</v>
      </c>
      <c r="E12" s="19">
        <v>2540.05996</v>
      </c>
      <c r="F12" s="22">
        <f t="shared" si="1"/>
        <v>0.33290170169075867</v>
      </c>
      <c r="G12" s="25">
        <v>4009.8473589999999</v>
      </c>
      <c r="H12" s="20">
        <v>0.91862175388924316</v>
      </c>
      <c r="I12" s="19">
        <v>2427.533934</v>
      </c>
      <c r="J12" s="22">
        <v>0.55612727379050697</v>
      </c>
      <c r="K12" s="30">
        <v>7630.0600059999997</v>
      </c>
      <c r="L12" s="19">
        <v>6984.8241790000002</v>
      </c>
      <c r="M12" s="20">
        <f t="shared" si="6"/>
        <v>0.91543502587232473</v>
      </c>
      <c r="N12" s="19">
        <v>5254.7185639999998</v>
      </c>
      <c r="O12" s="22">
        <f t="shared" si="7"/>
        <v>0.68868640087599331</v>
      </c>
      <c r="P12" s="25">
        <v>7630.0600059999997</v>
      </c>
      <c r="Q12" s="20">
        <f t="shared" si="4"/>
        <v>1</v>
      </c>
      <c r="R12" s="19">
        <v>6318.5148740000004</v>
      </c>
      <c r="S12" s="20">
        <f t="shared" si="5"/>
        <v>0.8281081497434295</v>
      </c>
      <c r="U12" s="156"/>
    </row>
    <row r="13" spans="1:21" ht="33.75" x14ac:dyDescent="0.25">
      <c r="A13" s="36" t="s">
        <v>42</v>
      </c>
      <c r="B13" s="30">
        <v>9532.0257039999997</v>
      </c>
      <c r="C13" s="19">
        <v>3449.248979</v>
      </c>
      <c r="D13" s="20">
        <f t="shared" si="0"/>
        <v>0.36185896745458462</v>
      </c>
      <c r="E13" s="19">
        <v>1739.734966</v>
      </c>
      <c r="F13" s="22">
        <f t="shared" si="1"/>
        <v>0.18251471618146614</v>
      </c>
      <c r="G13" s="25">
        <v>5200</v>
      </c>
      <c r="H13" s="20">
        <v>1</v>
      </c>
      <c r="I13" s="19">
        <v>2312.3594859999998</v>
      </c>
      <c r="J13" s="22">
        <v>0.44468451653846153</v>
      </c>
      <c r="K13" s="30">
        <v>9532.0257039999997</v>
      </c>
      <c r="L13" s="19">
        <v>9116.3806870000008</v>
      </c>
      <c r="M13" s="20">
        <f t="shared" si="6"/>
        <v>0.95639489129518629</v>
      </c>
      <c r="N13" s="19">
        <v>8266.2783440000003</v>
      </c>
      <c r="O13" s="22">
        <f t="shared" si="7"/>
        <v>0.8672110840543743</v>
      </c>
      <c r="P13" s="25">
        <v>9000</v>
      </c>
      <c r="Q13" s="20">
        <f t="shared" si="4"/>
        <v>0.94418545223008143</v>
      </c>
      <c r="R13" s="19">
        <v>6318.5148740000004</v>
      </c>
      <c r="S13" s="20">
        <f t="shared" si="5"/>
        <v>0.66287220263668734</v>
      </c>
      <c r="U13" s="156"/>
    </row>
    <row r="14" spans="1:21" ht="45" x14ac:dyDescent="0.25">
      <c r="A14" s="36" t="s">
        <v>5</v>
      </c>
      <c r="B14" s="30">
        <v>3157.8634440000001</v>
      </c>
      <c r="C14" s="19">
        <v>13846.59866</v>
      </c>
      <c r="D14" s="20">
        <f t="shared" si="0"/>
        <v>4.3847996930674116</v>
      </c>
      <c r="E14" s="19">
        <v>5768.9915010000004</v>
      </c>
      <c r="F14" s="22">
        <f t="shared" si="1"/>
        <v>1.8268654117901117</v>
      </c>
      <c r="G14" s="25">
        <v>18196.5</v>
      </c>
      <c r="H14" s="20">
        <v>0.9418478260869565</v>
      </c>
      <c r="I14" s="19">
        <v>9446.5323119999994</v>
      </c>
      <c r="J14" s="22">
        <v>0.48895094782608695</v>
      </c>
      <c r="K14" s="30">
        <v>3157.8634440000001</v>
      </c>
      <c r="L14" s="19">
        <v>1150.8330639999999</v>
      </c>
      <c r="M14" s="20">
        <f t="shared" si="6"/>
        <v>0.36443408158975477</v>
      </c>
      <c r="N14" s="19">
        <v>264.98264399999999</v>
      </c>
      <c r="O14" s="22">
        <f t="shared" si="7"/>
        <v>8.3912002117593781E-2</v>
      </c>
      <c r="P14" s="25">
        <v>3157.8634440000001</v>
      </c>
      <c r="Q14" s="20">
        <f t="shared" si="4"/>
        <v>1</v>
      </c>
      <c r="R14" s="19">
        <v>3157.8634440000001</v>
      </c>
      <c r="S14" s="20">
        <f t="shared" si="5"/>
        <v>1</v>
      </c>
      <c r="U14" s="156"/>
    </row>
    <row r="15" spans="1:21" ht="33.75" x14ac:dyDescent="0.25">
      <c r="A15" s="36" t="s">
        <v>7</v>
      </c>
      <c r="B15" s="30">
        <v>4500</v>
      </c>
      <c r="C15" s="19">
        <v>8582.3713680000001</v>
      </c>
      <c r="D15" s="20">
        <f t="shared" si="0"/>
        <v>1.9071936373333334</v>
      </c>
      <c r="E15" s="19">
        <v>0</v>
      </c>
      <c r="F15" s="22">
        <f t="shared" si="1"/>
        <v>0</v>
      </c>
      <c r="G15" s="25">
        <v>9699.3909999999996</v>
      </c>
      <c r="H15" s="20">
        <v>1</v>
      </c>
      <c r="I15" s="19">
        <v>3561.5692210000002</v>
      </c>
      <c r="J15" s="22">
        <v>0.3671951384370421</v>
      </c>
      <c r="K15" s="30">
        <v>4500</v>
      </c>
      <c r="L15" s="19">
        <v>3754.7046900100004</v>
      </c>
      <c r="M15" s="20">
        <f t="shared" si="6"/>
        <v>0.8343788200022223</v>
      </c>
      <c r="N15" s="19">
        <v>3451.5629330100001</v>
      </c>
      <c r="O15" s="22">
        <f t="shared" si="7"/>
        <v>0.7670139851133333</v>
      </c>
      <c r="P15" s="25">
        <v>4500</v>
      </c>
      <c r="Q15" s="20">
        <f t="shared" si="4"/>
        <v>1</v>
      </c>
      <c r="R15" s="19">
        <v>4500</v>
      </c>
      <c r="S15" s="20">
        <f t="shared" si="5"/>
        <v>1</v>
      </c>
      <c r="U15" s="156"/>
    </row>
    <row r="16" spans="1:21" ht="33.75" x14ac:dyDescent="0.25">
      <c r="A16" s="36" t="s">
        <v>24</v>
      </c>
      <c r="B16" s="30">
        <v>4330.8487519999999</v>
      </c>
      <c r="C16" s="19">
        <v>3686.5440255600001</v>
      </c>
      <c r="D16" s="20">
        <f t="shared" si="0"/>
        <v>0.85122899382194828</v>
      </c>
      <c r="E16" s="19">
        <v>1731.006895</v>
      </c>
      <c r="F16" s="22">
        <f t="shared" si="1"/>
        <v>0.3996922991597468</v>
      </c>
      <c r="G16" s="25">
        <v>3000</v>
      </c>
      <c r="H16" s="20">
        <v>0.5</v>
      </c>
      <c r="I16" s="19">
        <v>1800</v>
      </c>
      <c r="J16" s="22">
        <v>0.3</v>
      </c>
      <c r="K16" s="30">
        <v>4330.8487519999999</v>
      </c>
      <c r="L16" s="19">
        <v>2129.1227370000001</v>
      </c>
      <c r="M16" s="20">
        <f t="shared" si="6"/>
        <v>0.49161789268599243</v>
      </c>
      <c r="N16" s="19">
        <v>1327.7758409999999</v>
      </c>
      <c r="O16" s="22">
        <f t="shared" si="7"/>
        <v>0.30658559488756765</v>
      </c>
      <c r="P16" s="25">
        <v>4330.8487519999999</v>
      </c>
      <c r="Q16" s="20">
        <f t="shared" si="4"/>
        <v>1</v>
      </c>
      <c r="R16" s="19">
        <v>4330.8487519999999</v>
      </c>
      <c r="S16" s="20">
        <f t="shared" si="5"/>
        <v>1</v>
      </c>
      <c r="U16" s="156"/>
    </row>
    <row r="17" spans="1:21" ht="25.5" customHeight="1" x14ac:dyDescent="0.25">
      <c r="A17" s="36" t="s">
        <v>26</v>
      </c>
      <c r="B17" s="30">
        <v>11983.130447</v>
      </c>
      <c r="C17" s="19">
        <v>52130.325794949997</v>
      </c>
      <c r="D17" s="20">
        <f t="shared" si="0"/>
        <v>4.3503094642519669</v>
      </c>
      <c r="E17" s="19">
        <v>8420.9975498299991</v>
      </c>
      <c r="F17" s="22">
        <f t="shared" si="1"/>
        <v>0.70273770172786632</v>
      </c>
      <c r="G17" s="25">
        <v>84360.09</v>
      </c>
      <c r="H17" s="20">
        <v>0.8787509375</v>
      </c>
      <c r="I17" s="19">
        <v>43272.624487000001</v>
      </c>
      <c r="J17" s="22">
        <v>0.45075650507291665</v>
      </c>
      <c r="K17" s="30">
        <v>11983.130447</v>
      </c>
      <c r="L17" s="19">
        <v>5983.1303289999996</v>
      </c>
      <c r="M17" s="20">
        <f t="shared" si="6"/>
        <v>0.49929610258877621</v>
      </c>
      <c r="N17" s="19">
        <v>549.93909900000006</v>
      </c>
      <c r="O17" s="22">
        <f t="shared" si="7"/>
        <v>4.5892774132128257E-2</v>
      </c>
      <c r="P17" s="25">
        <v>11983.130447</v>
      </c>
      <c r="Q17" s="20">
        <f t="shared" si="4"/>
        <v>1</v>
      </c>
      <c r="R17" s="19">
        <v>11983.130447</v>
      </c>
      <c r="S17" s="20">
        <f t="shared" si="5"/>
        <v>1</v>
      </c>
      <c r="U17" s="156"/>
    </row>
    <row r="18" spans="1:21" ht="24.75" customHeight="1" x14ac:dyDescent="0.25">
      <c r="A18" s="36" t="s">
        <v>28</v>
      </c>
      <c r="B18" s="30">
        <v>3502.1767709999999</v>
      </c>
      <c r="C18" s="19">
        <v>2030</v>
      </c>
      <c r="D18" s="20">
        <f t="shared" si="0"/>
        <v>0.57963950215464444</v>
      </c>
      <c r="E18" s="19">
        <v>1186</v>
      </c>
      <c r="F18" s="22">
        <f t="shared" si="1"/>
        <v>0.33864652687458535</v>
      </c>
      <c r="G18" s="25">
        <v>2180</v>
      </c>
      <c r="H18" s="20">
        <v>0.90833333333333333</v>
      </c>
      <c r="I18" s="19">
        <v>1383</v>
      </c>
      <c r="J18" s="22">
        <v>0.57625000000000004</v>
      </c>
      <c r="K18" s="30">
        <v>3502.1767709999999</v>
      </c>
      <c r="L18" s="19">
        <v>3494.939042</v>
      </c>
      <c r="M18" s="20">
        <f t="shared" si="6"/>
        <v>0.99793336274172895</v>
      </c>
      <c r="N18" s="19">
        <v>3125.9038220000002</v>
      </c>
      <c r="O18" s="22">
        <f t="shared" si="7"/>
        <v>0.89256026362925134</v>
      </c>
      <c r="P18" s="25">
        <v>3502.1767709999999</v>
      </c>
      <c r="Q18" s="20">
        <f t="shared" si="4"/>
        <v>1</v>
      </c>
      <c r="R18" s="19">
        <v>3502.1767709999999</v>
      </c>
      <c r="S18" s="20">
        <f t="shared" si="5"/>
        <v>1</v>
      </c>
      <c r="U18" s="156"/>
    </row>
    <row r="19" spans="1:21" ht="33.75" x14ac:dyDescent="0.25">
      <c r="A19" s="36" t="s">
        <v>44</v>
      </c>
      <c r="B19" s="30">
        <v>4172.80861</v>
      </c>
      <c r="C19" s="19">
        <v>4451.2675099999997</v>
      </c>
      <c r="D19" s="20">
        <f t="shared" si="0"/>
        <v>1.0667317689415905</v>
      </c>
      <c r="E19" s="19">
        <v>4413.4638729999997</v>
      </c>
      <c r="F19" s="22">
        <f t="shared" si="1"/>
        <v>1.0576722503934826</v>
      </c>
      <c r="G19" s="25">
        <v>0</v>
      </c>
      <c r="H19" s="20">
        <v>0</v>
      </c>
      <c r="I19" s="19">
        <v>0</v>
      </c>
      <c r="J19" s="22">
        <v>0</v>
      </c>
      <c r="K19" s="30">
        <v>4172.80861</v>
      </c>
      <c r="L19" s="19">
        <v>4154.0609569999997</v>
      </c>
      <c r="M19" s="20">
        <f t="shared" si="6"/>
        <v>0.99550718598617916</v>
      </c>
      <c r="N19" s="19">
        <v>3756.384235</v>
      </c>
      <c r="O19" s="22">
        <f t="shared" si="7"/>
        <v>0.90020525408185448</v>
      </c>
      <c r="P19" s="25">
        <v>4172.80861</v>
      </c>
      <c r="Q19" s="20">
        <f t="shared" si="4"/>
        <v>1</v>
      </c>
      <c r="R19" s="19">
        <v>3845.7837549999999</v>
      </c>
      <c r="S19" s="20">
        <f t="shared" si="5"/>
        <v>0.92162955803525337</v>
      </c>
      <c r="U19" s="156"/>
    </row>
    <row r="20" spans="1:21" ht="33.75" x14ac:dyDescent="0.25">
      <c r="A20" s="36" t="s">
        <v>30</v>
      </c>
      <c r="B20" s="30">
        <v>5059</v>
      </c>
      <c r="C20" s="19">
        <v>0</v>
      </c>
      <c r="D20" s="20">
        <f t="shared" si="0"/>
        <v>0</v>
      </c>
      <c r="E20" s="19">
        <v>0</v>
      </c>
      <c r="F20" s="22">
        <f t="shared" si="1"/>
        <v>0</v>
      </c>
      <c r="G20" s="25">
        <v>700</v>
      </c>
      <c r="H20" s="20">
        <v>1</v>
      </c>
      <c r="I20" s="19">
        <v>210</v>
      </c>
      <c r="J20" s="22">
        <v>0.3</v>
      </c>
      <c r="K20" s="30">
        <v>5059</v>
      </c>
      <c r="L20" s="19">
        <v>4792.4212360399997</v>
      </c>
      <c r="M20" s="20">
        <f t="shared" si="6"/>
        <v>0.94730603598339591</v>
      </c>
      <c r="N20" s="19">
        <v>4414.3839429999998</v>
      </c>
      <c r="O20" s="22">
        <f t="shared" si="7"/>
        <v>0.87258034058114253</v>
      </c>
      <c r="P20" s="25">
        <v>5059</v>
      </c>
      <c r="Q20" s="20">
        <f t="shared" si="4"/>
        <v>1</v>
      </c>
      <c r="R20" s="19">
        <v>5059</v>
      </c>
      <c r="S20" s="20">
        <f t="shared" si="5"/>
        <v>1</v>
      </c>
      <c r="U20" s="156"/>
    </row>
    <row r="21" spans="1:21" ht="33.75" x14ac:dyDescent="0.25">
      <c r="A21" s="36" t="s">
        <v>32</v>
      </c>
      <c r="B21" s="30">
        <v>16505.473787999999</v>
      </c>
      <c r="C21" s="19">
        <v>10394.762467909999</v>
      </c>
      <c r="D21" s="20">
        <f t="shared" si="0"/>
        <v>0.62977667902313228</v>
      </c>
      <c r="E21" s="19">
        <v>4205.5319959099998</v>
      </c>
      <c r="F21" s="22">
        <f t="shared" si="1"/>
        <v>0.25479619972905926</v>
      </c>
      <c r="G21" s="25">
        <v>19700</v>
      </c>
      <c r="H21" s="20">
        <v>0.98499999999999999</v>
      </c>
      <c r="I21" s="19">
        <v>10616.504344000001</v>
      </c>
      <c r="J21" s="22">
        <v>0.53082521719999998</v>
      </c>
      <c r="K21" s="30">
        <v>16505.473787999999</v>
      </c>
      <c r="L21" s="19">
        <v>16428.117784999999</v>
      </c>
      <c r="M21" s="20">
        <f t="shared" si="6"/>
        <v>0.99531331217791275</v>
      </c>
      <c r="N21" s="19">
        <v>14508.781572</v>
      </c>
      <c r="O21" s="22">
        <f t="shared" si="7"/>
        <v>0.87902848220863206</v>
      </c>
      <c r="P21" s="25">
        <v>16505.473787999999</v>
      </c>
      <c r="Q21" s="20">
        <f t="shared" si="4"/>
        <v>1</v>
      </c>
      <c r="R21" s="19">
        <v>16505.473787999999</v>
      </c>
      <c r="S21" s="20">
        <f t="shared" si="5"/>
        <v>1</v>
      </c>
      <c r="U21" s="156"/>
    </row>
    <row r="22" spans="1:21" ht="22.5" x14ac:dyDescent="0.25">
      <c r="A22" s="36" t="s">
        <v>34</v>
      </c>
      <c r="B22" s="30">
        <v>9432.5446769999999</v>
      </c>
      <c r="C22" s="19">
        <v>16142.746143</v>
      </c>
      <c r="D22" s="20">
        <f t="shared" si="0"/>
        <v>1.7113882516095502</v>
      </c>
      <c r="E22" s="19">
        <v>3501.763199</v>
      </c>
      <c r="F22" s="22">
        <f t="shared" si="1"/>
        <v>0.3712426835929632</v>
      </c>
      <c r="G22" s="25">
        <v>16576.174167000001</v>
      </c>
      <c r="H22" s="20">
        <v>0.65778468916666666</v>
      </c>
      <c r="I22" s="19">
        <v>15326.174166999999</v>
      </c>
      <c r="J22" s="22">
        <v>0.60818151456349201</v>
      </c>
      <c r="K22" s="30">
        <v>9432.5446769999999</v>
      </c>
      <c r="L22" s="19">
        <v>9383.2043900000008</v>
      </c>
      <c r="M22" s="20">
        <f t="shared" si="6"/>
        <v>0.99476914356734414</v>
      </c>
      <c r="N22" s="19">
        <v>6685.964782</v>
      </c>
      <c r="O22" s="22">
        <f t="shared" si="7"/>
        <v>0.70881877700540685</v>
      </c>
      <c r="P22" s="25">
        <v>8462.8948409999994</v>
      </c>
      <c r="Q22" s="20">
        <f t="shared" si="4"/>
        <v>0.89720167047134569</v>
      </c>
      <c r="R22" s="19">
        <v>8462.8948409999994</v>
      </c>
      <c r="S22" s="20">
        <f t="shared" si="5"/>
        <v>0.89720167047134569</v>
      </c>
      <c r="U22" s="156"/>
    </row>
    <row r="23" spans="1:21" ht="33.75" x14ac:dyDescent="0.25">
      <c r="A23" s="36" t="s">
        <v>9</v>
      </c>
      <c r="B23" s="30">
        <v>5775.3935860000001</v>
      </c>
      <c r="C23" s="19">
        <v>0</v>
      </c>
      <c r="D23" s="20">
        <f t="shared" si="0"/>
        <v>0</v>
      </c>
      <c r="E23" s="19">
        <v>0</v>
      </c>
      <c r="F23" s="22">
        <f t="shared" si="1"/>
        <v>0</v>
      </c>
      <c r="G23" s="25">
        <v>10000</v>
      </c>
      <c r="H23" s="20">
        <v>1</v>
      </c>
      <c r="I23" s="19">
        <v>5000.0000010000003</v>
      </c>
      <c r="J23" s="22">
        <v>0.50000000010000001</v>
      </c>
      <c r="K23" s="30">
        <v>5775.3935860000001</v>
      </c>
      <c r="L23" s="19">
        <v>5148.9095582399996</v>
      </c>
      <c r="M23" s="20">
        <f t="shared" si="6"/>
        <v>0.89152531019208003</v>
      </c>
      <c r="N23" s="19">
        <v>4170.3688776999998</v>
      </c>
      <c r="O23" s="22">
        <f t="shared" si="7"/>
        <v>0.72209258392524034</v>
      </c>
      <c r="P23" s="25">
        <v>5775.3935860000001</v>
      </c>
      <c r="Q23" s="20">
        <f t="shared" si="4"/>
        <v>1</v>
      </c>
      <c r="R23" s="19">
        <v>5775.3935860000001</v>
      </c>
      <c r="S23" s="20">
        <f t="shared" si="5"/>
        <v>1</v>
      </c>
      <c r="U23" s="156"/>
    </row>
    <row r="24" spans="1:21" ht="22.5" x14ac:dyDescent="0.25">
      <c r="A24" s="36" t="s">
        <v>11</v>
      </c>
      <c r="B24" s="30">
        <v>86370.889339999994</v>
      </c>
      <c r="C24" s="19">
        <v>8566.8622369999994</v>
      </c>
      <c r="D24" s="20">
        <f t="shared" si="0"/>
        <v>9.9186917055773829E-2</v>
      </c>
      <c r="E24" s="19">
        <v>2371.2696740000001</v>
      </c>
      <c r="F24" s="22">
        <f t="shared" si="1"/>
        <v>2.7454501072293813E-2</v>
      </c>
      <c r="G24" s="25">
        <v>8181.7992839999997</v>
      </c>
      <c r="H24" s="20">
        <v>0.68181660700000002</v>
      </c>
      <c r="I24" s="19">
        <v>8063.598567</v>
      </c>
      <c r="J24" s="22">
        <v>0.67196654725000005</v>
      </c>
      <c r="K24" s="30">
        <v>86370.889339999994</v>
      </c>
      <c r="L24" s="19">
        <v>84128.014486529995</v>
      </c>
      <c r="M24" s="20">
        <f t="shared" si="6"/>
        <v>0.97403205095363909</v>
      </c>
      <c r="N24" s="19">
        <v>35830.645078720001</v>
      </c>
      <c r="O24" s="22">
        <f t="shared" si="7"/>
        <v>0.4148463139898011</v>
      </c>
      <c r="P24" s="25">
        <v>86370.889339999994</v>
      </c>
      <c r="Q24" s="20">
        <f t="shared" si="4"/>
        <v>1</v>
      </c>
      <c r="R24" s="19">
        <v>86370.889339999994</v>
      </c>
      <c r="S24" s="20">
        <f t="shared" si="5"/>
        <v>1</v>
      </c>
      <c r="U24" s="156"/>
    </row>
    <row r="25" spans="1:21" ht="33.75" x14ac:dyDescent="0.25">
      <c r="A25" s="36" t="s">
        <v>62</v>
      </c>
      <c r="B25" s="30">
        <v>6977.456553</v>
      </c>
      <c r="C25" s="19">
        <v>119574.87944107001</v>
      </c>
      <c r="D25" s="20">
        <f t="shared" si="0"/>
        <v>17.137316231608501</v>
      </c>
      <c r="E25" s="19">
        <v>41756.950315000002</v>
      </c>
      <c r="F25" s="22">
        <f t="shared" si="1"/>
        <v>5.9845518202540937</v>
      </c>
      <c r="G25" s="25">
        <v>196446</v>
      </c>
      <c r="H25" s="20">
        <v>0.93663016062974103</v>
      </c>
      <c r="I25" s="19">
        <v>79770.457920000001</v>
      </c>
      <c r="J25" s="22">
        <v>0.38033564855032731</v>
      </c>
      <c r="K25" s="30">
        <v>6977.456553</v>
      </c>
      <c r="L25" s="19">
        <v>6977.2565420000001</v>
      </c>
      <c r="M25" s="20">
        <f t="shared" si="6"/>
        <v>0.99997133468356547</v>
      </c>
      <c r="N25" s="19">
        <v>4932.7285620000002</v>
      </c>
      <c r="O25" s="22">
        <f t="shared" si="7"/>
        <v>0.70695224320374217</v>
      </c>
      <c r="P25" s="25">
        <v>6977.456553</v>
      </c>
      <c r="Q25" s="20">
        <f t="shared" si="4"/>
        <v>1</v>
      </c>
      <c r="R25" s="19">
        <v>6977.456553</v>
      </c>
      <c r="S25" s="20">
        <f t="shared" si="5"/>
        <v>1</v>
      </c>
      <c r="U25" s="156"/>
    </row>
    <row r="26" spans="1:21" ht="45" x14ac:dyDescent="0.25">
      <c r="A26" s="36" t="s">
        <v>329</v>
      </c>
      <c r="B26" s="30">
        <v>0</v>
      </c>
      <c r="C26" s="19">
        <v>5053.6971299999996</v>
      </c>
      <c r="D26" s="20" t="e">
        <f t="shared" si="0"/>
        <v>#DIV/0!</v>
      </c>
      <c r="E26" s="19">
        <v>3317.14705</v>
      </c>
      <c r="F26" s="22" t="e">
        <f t="shared" si="1"/>
        <v>#DIV/0!</v>
      </c>
      <c r="G26" s="25">
        <v>5484.8724430000002</v>
      </c>
      <c r="H26" s="20">
        <v>0.69782092150127228</v>
      </c>
      <c r="I26" s="19">
        <v>2564.7551440000002</v>
      </c>
      <c r="J26" s="22">
        <v>0.32630472569974556</v>
      </c>
      <c r="K26" s="30">
        <v>0</v>
      </c>
      <c r="L26" s="19">
        <v>0</v>
      </c>
      <c r="M26" s="20"/>
      <c r="N26" s="19">
        <v>0</v>
      </c>
      <c r="O26" s="22"/>
      <c r="P26" s="25">
        <v>0</v>
      </c>
      <c r="Q26" s="20"/>
      <c r="R26" s="19">
        <v>0</v>
      </c>
      <c r="S26" s="20"/>
      <c r="U26" s="156"/>
    </row>
    <row r="27" spans="1:21" ht="33.75" x14ac:dyDescent="0.25">
      <c r="A27" s="36" t="s">
        <v>13</v>
      </c>
      <c r="B27" s="30">
        <v>11877.36268</v>
      </c>
      <c r="C27" s="19">
        <v>5846.6697999999997</v>
      </c>
      <c r="D27" s="20">
        <f t="shared" si="0"/>
        <v>0.49225320111215126</v>
      </c>
      <c r="E27" s="19">
        <v>1514.4229929999999</v>
      </c>
      <c r="F27" s="22">
        <f t="shared" si="1"/>
        <v>0.12750498859061529</v>
      </c>
      <c r="G27" s="25">
        <v>8815</v>
      </c>
      <c r="H27" s="20">
        <v>0.86379225869671727</v>
      </c>
      <c r="I27" s="19">
        <v>6030.5022134399997</v>
      </c>
      <c r="J27" s="22">
        <v>0.59093603267417927</v>
      </c>
      <c r="K27" s="30">
        <v>11877.36268</v>
      </c>
      <c r="L27" s="19">
        <v>11591.59479116</v>
      </c>
      <c r="M27" s="20">
        <f t="shared" si="6"/>
        <v>0.97594012269060382</v>
      </c>
      <c r="N27" s="19">
        <v>8111.4299911600001</v>
      </c>
      <c r="O27" s="22">
        <f t="shared" si="7"/>
        <v>0.6829319108709746</v>
      </c>
      <c r="P27" s="25">
        <v>11877.36268</v>
      </c>
      <c r="Q27" s="20">
        <f t="shared" si="4"/>
        <v>1</v>
      </c>
      <c r="R27" s="19">
        <v>11877.36268</v>
      </c>
      <c r="S27" s="20">
        <f t="shared" si="5"/>
        <v>1</v>
      </c>
      <c r="U27" s="156"/>
    </row>
    <row r="28" spans="1:21" ht="33.75" x14ac:dyDescent="0.25">
      <c r="A28" s="36" t="s">
        <v>37</v>
      </c>
      <c r="B28" s="30">
        <v>16342.746143</v>
      </c>
      <c r="C28" s="19">
        <v>7654.23184924</v>
      </c>
      <c r="D28" s="20">
        <f t="shared" si="0"/>
        <v>0.4683565284723275</v>
      </c>
      <c r="E28" s="19">
        <v>4586.3303070000002</v>
      </c>
      <c r="F28" s="22">
        <f t="shared" si="1"/>
        <v>0.28063400525648119</v>
      </c>
      <c r="G28" s="25">
        <v>8490</v>
      </c>
      <c r="H28" s="20">
        <v>0.94333333333333336</v>
      </c>
      <c r="I28" s="19">
        <v>3469.0033229999999</v>
      </c>
      <c r="J28" s="22">
        <v>0.38544481366666666</v>
      </c>
      <c r="K28" s="30">
        <v>16342.746143</v>
      </c>
      <c r="L28" s="19">
        <v>16342.746143</v>
      </c>
      <c r="M28" s="20">
        <f t="shared" si="6"/>
        <v>1</v>
      </c>
      <c r="N28" s="19">
        <v>13870.779694999999</v>
      </c>
      <c r="O28" s="22">
        <f t="shared" si="7"/>
        <v>0.84874228441351607</v>
      </c>
      <c r="P28" s="25">
        <v>16342.746143</v>
      </c>
      <c r="Q28" s="20">
        <f t="shared" si="4"/>
        <v>1</v>
      </c>
      <c r="R28" s="19">
        <v>16342.746143</v>
      </c>
      <c r="S28" s="20">
        <f t="shared" si="5"/>
        <v>1</v>
      </c>
      <c r="U28" s="156"/>
    </row>
    <row r="29" spans="1:21" ht="45" x14ac:dyDescent="0.25">
      <c r="A29" s="36" t="s">
        <v>15</v>
      </c>
      <c r="B29" s="30">
        <v>10000</v>
      </c>
      <c r="C29" s="19">
        <v>268.23123600000002</v>
      </c>
      <c r="D29" s="20">
        <f t="shared" si="0"/>
        <v>2.6823123600000002E-2</v>
      </c>
      <c r="E29" s="19">
        <v>0</v>
      </c>
      <c r="F29" s="22">
        <f t="shared" si="1"/>
        <v>0</v>
      </c>
      <c r="G29" s="25">
        <v>2403</v>
      </c>
      <c r="H29" s="20">
        <v>0.22451649070354107</v>
      </c>
      <c r="I29" s="19">
        <v>1201.5</v>
      </c>
      <c r="J29" s="22">
        <v>0.11225824535177054</v>
      </c>
      <c r="K29" s="30">
        <v>10000</v>
      </c>
      <c r="L29" s="19">
        <v>9573.5905970000003</v>
      </c>
      <c r="M29" s="20">
        <f t="shared" si="6"/>
        <v>0.95735905970000001</v>
      </c>
      <c r="N29" s="19">
        <v>33.598799999999997</v>
      </c>
      <c r="O29" s="22">
        <f t="shared" si="7"/>
        <v>3.3598799999999996E-3</v>
      </c>
      <c r="P29" s="25">
        <v>10000</v>
      </c>
      <c r="Q29" s="20">
        <f t="shared" si="4"/>
        <v>1</v>
      </c>
      <c r="R29" s="19">
        <v>10000</v>
      </c>
      <c r="S29" s="20">
        <f t="shared" si="5"/>
        <v>1</v>
      </c>
      <c r="U29" s="156"/>
    </row>
    <row r="30" spans="1:21" s="1" customFormat="1" ht="29.25" customHeight="1" x14ac:dyDescent="0.25">
      <c r="A30" s="37" t="s">
        <v>127</v>
      </c>
      <c r="B30" s="31">
        <f>SUM(B31:B37)</f>
        <v>66047.206873999996</v>
      </c>
      <c r="C30" s="16">
        <f>SUM(C31:C37)</f>
        <v>53723.190938999993</v>
      </c>
      <c r="D30" s="15">
        <f t="shared" si="0"/>
        <v>0.81340594828618784</v>
      </c>
      <c r="E30" s="16">
        <f>SUM(E31:E37)</f>
        <v>27748.809786999998</v>
      </c>
      <c r="F30" s="21">
        <f t="shared" si="1"/>
        <v>0.42013600726427597</v>
      </c>
      <c r="G30" s="26">
        <f>SUM(G31:G37)</f>
        <v>59663.313362000001</v>
      </c>
      <c r="H30" s="15"/>
      <c r="I30" s="16">
        <f>SUM(I31:I37)</f>
        <v>34406.173855000001</v>
      </c>
      <c r="J30" s="21"/>
      <c r="K30" s="31">
        <f>SUM(K31:K37)</f>
        <v>64021.864292999999</v>
      </c>
      <c r="L30" s="16">
        <f>SUM(L31:L37)</f>
        <v>63307.939790999997</v>
      </c>
      <c r="M30" s="15">
        <f t="shared" si="6"/>
        <v>0.98884873925675321</v>
      </c>
      <c r="N30" s="16">
        <f>SUM(N31:N37)</f>
        <v>57184.976060000001</v>
      </c>
      <c r="O30" s="21">
        <f t="shared" si="7"/>
        <v>0.89321010394651179</v>
      </c>
      <c r="P30" s="26">
        <f>SUM(P31:P37)</f>
        <v>64021.864292999999</v>
      </c>
      <c r="Q30" s="15">
        <f t="shared" si="4"/>
        <v>1</v>
      </c>
      <c r="R30" s="16">
        <f>SUM(R31:R37)</f>
        <v>61905.167280999995</v>
      </c>
      <c r="S30" s="15">
        <f t="shared" si="5"/>
        <v>0.96693790417734771</v>
      </c>
      <c r="T30" s="159"/>
      <c r="U30" s="156"/>
    </row>
    <row r="31" spans="1:21" ht="38.25" customHeight="1" x14ac:dyDescent="0.25">
      <c r="A31" s="36" t="s">
        <v>46</v>
      </c>
      <c r="B31" s="30">
        <v>10000</v>
      </c>
      <c r="C31" s="19">
        <v>5083.55</v>
      </c>
      <c r="D31" s="20">
        <f t="shared" si="0"/>
        <v>0.508355</v>
      </c>
      <c r="E31" s="19">
        <v>0</v>
      </c>
      <c r="F31" s="22">
        <f t="shared" si="1"/>
        <v>0</v>
      </c>
      <c r="G31" s="25">
        <v>7983.0513080000001</v>
      </c>
      <c r="H31" s="20">
        <v>0.79830513079999998</v>
      </c>
      <c r="I31" s="19">
        <v>4883.0513080000001</v>
      </c>
      <c r="J31" s="22">
        <v>0.48830513079999999</v>
      </c>
      <c r="K31" s="30">
        <v>9425.4363830000002</v>
      </c>
      <c r="L31" s="19">
        <v>9259.8731470000002</v>
      </c>
      <c r="M31" s="20">
        <f t="shared" si="6"/>
        <v>0.98243442220896904</v>
      </c>
      <c r="N31" s="19">
        <v>7209.8731470000002</v>
      </c>
      <c r="O31" s="22">
        <f t="shared" si="7"/>
        <v>0.76493786112693352</v>
      </c>
      <c r="P31" s="25">
        <v>9425.4363830000002</v>
      </c>
      <c r="Q31" s="20">
        <f t="shared" si="4"/>
        <v>1</v>
      </c>
      <c r="R31" s="19">
        <v>9425.4363830000002</v>
      </c>
      <c r="S31" s="20">
        <f t="shared" si="5"/>
        <v>1</v>
      </c>
      <c r="U31" s="156"/>
    </row>
    <row r="32" spans="1:21" ht="42" customHeight="1" x14ac:dyDescent="0.25">
      <c r="A32" s="36" t="s">
        <v>48</v>
      </c>
      <c r="B32" s="30">
        <v>5250</v>
      </c>
      <c r="C32" s="19">
        <v>4698.6218879999997</v>
      </c>
      <c r="D32" s="20">
        <f t="shared" si="0"/>
        <v>0.8949755977142857</v>
      </c>
      <c r="E32" s="19">
        <v>188.72997599999999</v>
      </c>
      <c r="F32" s="22">
        <f t="shared" si="1"/>
        <v>3.5948566857142858E-2</v>
      </c>
      <c r="G32" s="25">
        <v>5140</v>
      </c>
      <c r="H32" s="20">
        <v>0.97904761904761906</v>
      </c>
      <c r="I32" s="19">
        <v>428</v>
      </c>
      <c r="J32" s="22">
        <v>8.1523809523809526E-2</v>
      </c>
      <c r="K32" s="30">
        <v>4916.7322670000003</v>
      </c>
      <c r="L32" s="19">
        <v>4905.1334040000002</v>
      </c>
      <c r="M32" s="20">
        <f t="shared" si="6"/>
        <v>0.99764094069594778</v>
      </c>
      <c r="N32" s="19">
        <v>4200.1820680000001</v>
      </c>
      <c r="O32" s="22">
        <f t="shared" si="7"/>
        <v>0.8542629209629079</v>
      </c>
      <c r="P32" s="25">
        <v>4916.7322670000003</v>
      </c>
      <c r="Q32" s="20">
        <f t="shared" si="4"/>
        <v>1</v>
      </c>
      <c r="R32" s="19">
        <v>4916.7322670000003</v>
      </c>
      <c r="S32" s="20">
        <f t="shared" si="5"/>
        <v>1</v>
      </c>
      <c r="U32" s="156"/>
    </row>
    <row r="33" spans="1:21" ht="28.5" customHeight="1" x14ac:dyDescent="0.25">
      <c r="A33" s="36" t="s">
        <v>67</v>
      </c>
      <c r="B33" s="30">
        <v>1101</v>
      </c>
      <c r="C33" s="19">
        <v>619.66228599999999</v>
      </c>
      <c r="D33" s="20">
        <f t="shared" si="0"/>
        <v>0.56281769845594909</v>
      </c>
      <c r="E33" s="19">
        <v>285.61167599999999</v>
      </c>
      <c r="F33" s="22">
        <f t="shared" si="1"/>
        <v>0.25941114986376018</v>
      </c>
      <c r="G33" s="25">
        <v>821</v>
      </c>
      <c r="H33" s="20">
        <v>0.65627498001598716</v>
      </c>
      <c r="I33" s="19">
        <v>636</v>
      </c>
      <c r="J33" s="22">
        <v>0.50839328537170259</v>
      </c>
      <c r="K33" s="30">
        <v>1101</v>
      </c>
      <c r="L33" s="19">
        <v>724.23863800000004</v>
      </c>
      <c r="M33" s="20">
        <f t="shared" si="6"/>
        <v>0.65780076112624886</v>
      </c>
      <c r="N33" s="19">
        <v>611.19334700000002</v>
      </c>
      <c r="O33" s="22">
        <f t="shared" si="7"/>
        <v>0.55512565576748407</v>
      </c>
      <c r="P33" s="25">
        <v>1101</v>
      </c>
      <c r="Q33" s="20">
        <f t="shared" si="4"/>
        <v>1</v>
      </c>
      <c r="R33" s="19">
        <v>1101</v>
      </c>
      <c r="S33" s="20">
        <f t="shared" si="5"/>
        <v>1</v>
      </c>
      <c r="U33" s="156"/>
    </row>
    <row r="34" spans="1:21" ht="28.5" customHeight="1" x14ac:dyDescent="0.25">
      <c r="A34" s="36" t="s">
        <v>50</v>
      </c>
      <c r="B34" s="30">
        <v>888</v>
      </c>
      <c r="C34" s="19">
        <v>31</v>
      </c>
      <c r="D34" s="20"/>
      <c r="E34" s="19">
        <v>0</v>
      </c>
      <c r="F34" s="22"/>
      <c r="G34" s="25">
        <v>0</v>
      </c>
      <c r="H34" s="20">
        <v>0</v>
      </c>
      <c r="I34" s="19">
        <v>0</v>
      </c>
      <c r="J34" s="22">
        <v>0</v>
      </c>
      <c r="K34" s="30">
        <v>43350.126142000001</v>
      </c>
      <c r="L34" s="19">
        <v>43349.886470999998</v>
      </c>
      <c r="M34" s="20"/>
      <c r="N34" s="19">
        <v>41233.429129999997</v>
      </c>
      <c r="O34" s="22"/>
      <c r="P34" s="25">
        <v>43350.126142000001</v>
      </c>
      <c r="Q34" s="20">
        <f t="shared" si="4"/>
        <v>1</v>
      </c>
      <c r="R34" s="19">
        <v>41233.429129999997</v>
      </c>
      <c r="S34" s="20">
        <f t="shared" si="5"/>
        <v>0.95117206798738163</v>
      </c>
      <c r="U34" s="156"/>
    </row>
    <row r="35" spans="1:21" ht="55.5" customHeight="1" x14ac:dyDescent="0.25">
      <c r="A35" s="36" t="s">
        <v>52</v>
      </c>
      <c r="B35" s="30">
        <v>43351.206874000003</v>
      </c>
      <c r="C35" s="19">
        <v>39751.133242999997</v>
      </c>
      <c r="D35" s="20">
        <f t="shared" si="0"/>
        <v>0.91695563075178976</v>
      </c>
      <c r="E35" s="19">
        <v>27274.468134999999</v>
      </c>
      <c r="F35" s="22">
        <f t="shared" si="1"/>
        <v>0.62915129939226511</v>
      </c>
      <c r="G35" s="25">
        <v>40262.262053999999</v>
      </c>
      <c r="H35" s="20">
        <v>0.91319996227337896</v>
      </c>
      <c r="I35" s="19">
        <v>28459.122546999999</v>
      </c>
      <c r="J35" s="22">
        <v>0.64548955548988862</v>
      </c>
      <c r="K35" s="30">
        <v>2876.118696</v>
      </c>
      <c r="L35" s="19">
        <v>2875.8301970000002</v>
      </c>
      <c r="M35" s="20">
        <f t="shared" ref="M35:M44" si="8">+L35/K35</f>
        <v>0.9998996915529248</v>
      </c>
      <c r="N35" s="19">
        <v>2875.8301970000002</v>
      </c>
      <c r="O35" s="22">
        <f t="shared" ref="O35:O44" si="9">+N35/K35</f>
        <v>0.9998996915529248</v>
      </c>
      <c r="P35" s="25">
        <v>2876.118696</v>
      </c>
      <c r="Q35" s="20">
        <f t="shared" si="4"/>
        <v>1</v>
      </c>
      <c r="R35" s="19">
        <v>2876.118696</v>
      </c>
      <c r="S35" s="20">
        <f t="shared" si="5"/>
        <v>1</v>
      </c>
      <c r="U35" s="156"/>
    </row>
    <row r="36" spans="1:21" ht="39" customHeight="1" x14ac:dyDescent="0.25">
      <c r="A36" s="36" t="s">
        <v>54</v>
      </c>
      <c r="B36" s="30">
        <v>3000</v>
      </c>
      <c r="C36" s="19">
        <v>2799.2836889999999</v>
      </c>
      <c r="D36" s="20">
        <f t="shared" si="0"/>
        <v>0.93309456299999993</v>
      </c>
      <c r="E36" s="19">
        <v>0</v>
      </c>
      <c r="F36" s="22">
        <f t="shared" si="1"/>
        <v>0</v>
      </c>
      <c r="G36" s="25">
        <v>3000</v>
      </c>
      <c r="H36" s="20">
        <v>1</v>
      </c>
      <c r="I36" s="19">
        <v>0</v>
      </c>
      <c r="J36" s="22">
        <v>0</v>
      </c>
      <c r="K36" s="30">
        <v>2102.7608049999999</v>
      </c>
      <c r="L36" s="19">
        <v>2025.2457830000001</v>
      </c>
      <c r="M36" s="20">
        <f t="shared" si="8"/>
        <v>0.96313654800123605</v>
      </c>
      <c r="N36" s="19">
        <v>922.39226599999995</v>
      </c>
      <c r="O36" s="22">
        <f t="shared" si="9"/>
        <v>0.43865772265048475</v>
      </c>
      <c r="P36" s="25">
        <v>2102.7608049999999</v>
      </c>
      <c r="Q36" s="20">
        <f t="shared" si="4"/>
        <v>1</v>
      </c>
      <c r="R36" s="19">
        <v>2102.7608049999999</v>
      </c>
      <c r="S36" s="20">
        <f t="shared" si="5"/>
        <v>1</v>
      </c>
      <c r="U36" s="156"/>
    </row>
    <row r="37" spans="1:21" ht="27" customHeight="1" x14ac:dyDescent="0.25">
      <c r="A37" s="36" t="s">
        <v>277</v>
      </c>
      <c r="B37" s="30">
        <v>2457</v>
      </c>
      <c r="C37" s="19">
        <v>739.93983300000002</v>
      </c>
      <c r="D37" s="20">
        <f t="shared" si="0"/>
        <v>0.30115581318681317</v>
      </c>
      <c r="E37" s="19">
        <v>0</v>
      </c>
      <c r="F37" s="22">
        <f t="shared" si="1"/>
        <v>0</v>
      </c>
      <c r="G37" s="25">
        <v>2457</v>
      </c>
      <c r="H37" s="20">
        <v>1</v>
      </c>
      <c r="I37" s="19">
        <v>0</v>
      </c>
      <c r="J37" s="22">
        <v>0</v>
      </c>
      <c r="K37" s="30">
        <v>249.69</v>
      </c>
      <c r="L37" s="19">
        <v>167.73215099999999</v>
      </c>
      <c r="M37" s="20">
        <f t="shared" si="8"/>
        <v>0.67176158836957822</v>
      </c>
      <c r="N37" s="19">
        <v>132.07590500000001</v>
      </c>
      <c r="O37" s="22">
        <f t="shared" si="9"/>
        <v>0.52895952981697303</v>
      </c>
      <c r="P37" s="25">
        <v>249.69</v>
      </c>
      <c r="Q37" s="20">
        <f t="shared" si="4"/>
        <v>1</v>
      </c>
      <c r="R37" s="19">
        <v>249.69</v>
      </c>
      <c r="S37" s="20">
        <f t="shared" si="5"/>
        <v>1</v>
      </c>
      <c r="U37" s="156"/>
    </row>
    <row r="38" spans="1:21" s="1" customFormat="1" ht="30.75" customHeight="1" x14ac:dyDescent="0.25">
      <c r="A38" s="37" t="s">
        <v>128</v>
      </c>
      <c r="B38" s="31">
        <f>SUM(B39:B43)</f>
        <v>46004</v>
      </c>
      <c r="C38" s="16">
        <f>SUM(C39:C43)</f>
        <v>28019.592175000002</v>
      </c>
      <c r="D38" s="15">
        <f t="shared" si="0"/>
        <v>0.60906860653421446</v>
      </c>
      <c r="E38" s="16">
        <f>SUM(E39:E43)</f>
        <v>15430.34228626</v>
      </c>
      <c r="F38" s="21">
        <f t="shared" si="1"/>
        <v>0.33541305726154247</v>
      </c>
      <c r="G38" s="26">
        <f>SUM(G39:G43)</f>
        <v>37953.359090500002</v>
      </c>
      <c r="H38" s="15"/>
      <c r="I38" s="16">
        <f>SUM(I39:I43)</f>
        <v>26472.858408547621</v>
      </c>
      <c r="J38" s="21"/>
      <c r="K38" s="31">
        <f>SUM(K39:K43)</f>
        <v>42061.364702999999</v>
      </c>
      <c r="L38" s="16">
        <f>SUM(L39:L43)</f>
        <v>36348.027857790003</v>
      </c>
      <c r="M38" s="15">
        <f t="shared" si="8"/>
        <v>0.86416663164515684</v>
      </c>
      <c r="N38" s="16">
        <f>SUM(N39:N43)</f>
        <v>33465.60595379</v>
      </c>
      <c r="O38" s="21">
        <f t="shared" si="9"/>
        <v>0.79563766392494362</v>
      </c>
      <c r="P38" s="26">
        <f>SUM(P39:P43)</f>
        <v>42061.364702999999</v>
      </c>
      <c r="Q38" s="15">
        <f t="shared" si="4"/>
        <v>1</v>
      </c>
      <c r="R38" s="16">
        <f>SUM(R39:R43)</f>
        <v>42039.630489000003</v>
      </c>
      <c r="S38" s="15">
        <f t="shared" si="5"/>
        <v>0.99948327368468748</v>
      </c>
      <c r="T38" s="159"/>
      <c r="U38" s="156"/>
    </row>
    <row r="39" spans="1:21" ht="30.75" customHeight="1" x14ac:dyDescent="0.25">
      <c r="A39" s="36" t="s">
        <v>119</v>
      </c>
      <c r="B39" s="30">
        <v>9000</v>
      </c>
      <c r="C39" s="19">
        <v>5451.2971109999999</v>
      </c>
      <c r="D39" s="20">
        <f t="shared" si="0"/>
        <v>0.60569967899999999</v>
      </c>
      <c r="E39" s="19">
        <v>3498.6328308800003</v>
      </c>
      <c r="F39" s="22">
        <f t="shared" si="1"/>
        <v>0.38873698120888894</v>
      </c>
      <c r="G39" s="25">
        <v>7879.391404</v>
      </c>
      <c r="H39" s="20">
        <v>0.87548793377777778</v>
      </c>
      <c r="I39" s="19">
        <v>4175.6302100000003</v>
      </c>
      <c r="J39" s="22">
        <v>0.46395891222222224</v>
      </c>
      <c r="K39" s="30">
        <v>8711.7342140000001</v>
      </c>
      <c r="L39" s="19">
        <v>8138.3013985100006</v>
      </c>
      <c r="M39" s="20">
        <f t="shared" si="8"/>
        <v>0.93417696162395802</v>
      </c>
      <c r="N39" s="19">
        <v>7431.8967455100001</v>
      </c>
      <c r="O39" s="22">
        <f t="shared" si="9"/>
        <v>0.85309039083937321</v>
      </c>
      <c r="P39" s="25">
        <v>8711.7342140000001</v>
      </c>
      <c r="Q39" s="20">
        <f t="shared" si="4"/>
        <v>1</v>
      </c>
      <c r="R39" s="19">
        <v>8690</v>
      </c>
      <c r="S39" s="20">
        <f t="shared" si="5"/>
        <v>0.99750517939756789</v>
      </c>
      <c r="U39" s="156"/>
    </row>
    <row r="40" spans="1:21" ht="37.5" customHeight="1" x14ac:dyDescent="0.25">
      <c r="A40" s="36" t="s">
        <v>120</v>
      </c>
      <c r="B40" s="30">
        <v>12300</v>
      </c>
      <c r="C40" s="19">
        <v>7772.4159810000001</v>
      </c>
      <c r="D40" s="20">
        <f t="shared" si="0"/>
        <v>0.63190373829268298</v>
      </c>
      <c r="E40" s="19">
        <v>2140.7287443800001</v>
      </c>
      <c r="F40" s="22">
        <f t="shared" si="1"/>
        <v>0.1740429873479675</v>
      </c>
      <c r="G40" s="25">
        <v>6319.1321870000002</v>
      </c>
      <c r="H40" s="20">
        <v>0.51375058430894305</v>
      </c>
      <c r="I40" s="19">
        <v>2860.8087049999999</v>
      </c>
      <c r="J40" s="22">
        <v>0.23258607357723576</v>
      </c>
      <c r="K40" s="30">
        <v>11145.630488999999</v>
      </c>
      <c r="L40" s="19">
        <v>9420.1110402800005</v>
      </c>
      <c r="M40" s="20">
        <f t="shared" si="8"/>
        <v>0.84518422260427772</v>
      </c>
      <c r="N40" s="19">
        <v>7983.0182262799999</v>
      </c>
      <c r="O40" s="22">
        <f t="shared" si="9"/>
        <v>0.71624644600937659</v>
      </c>
      <c r="P40" s="25">
        <v>11145.630488999999</v>
      </c>
      <c r="Q40" s="20">
        <f t="shared" si="4"/>
        <v>1</v>
      </c>
      <c r="R40" s="19">
        <v>11145.630488999999</v>
      </c>
      <c r="S40" s="20">
        <f t="shared" si="5"/>
        <v>1</v>
      </c>
      <c r="U40" s="156"/>
    </row>
    <row r="41" spans="1:21" ht="32.25" customHeight="1" x14ac:dyDescent="0.25">
      <c r="A41" s="36" t="s">
        <v>117</v>
      </c>
      <c r="B41" s="30">
        <v>3204</v>
      </c>
      <c r="C41" s="19">
        <v>2578.0034730000002</v>
      </c>
      <c r="D41" s="20">
        <f t="shared" si="0"/>
        <v>0.8046203099250937</v>
      </c>
      <c r="E41" s="19">
        <v>926.73380099999997</v>
      </c>
      <c r="F41" s="22">
        <f t="shared" si="1"/>
        <v>0.28924275936329585</v>
      </c>
      <c r="G41" s="25">
        <v>3204</v>
      </c>
      <c r="H41" s="20">
        <v>1</v>
      </c>
      <c r="I41" s="19">
        <v>1514.8</v>
      </c>
      <c r="J41" s="22">
        <v>0.47278401997503122</v>
      </c>
      <c r="K41" s="30">
        <v>3204</v>
      </c>
      <c r="L41" s="19">
        <v>3140.2240700000002</v>
      </c>
      <c r="M41" s="20">
        <f t="shared" si="8"/>
        <v>0.98009490324594262</v>
      </c>
      <c r="N41" s="19">
        <v>2779.1808599999999</v>
      </c>
      <c r="O41" s="22">
        <f t="shared" si="9"/>
        <v>0.86740975655430708</v>
      </c>
      <c r="P41" s="25">
        <v>3204</v>
      </c>
      <c r="Q41" s="20">
        <f t="shared" si="4"/>
        <v>1</v>
      </c>
      <c r="R41" s="19">
        <v>3204</v>
      </c>
      <c r="S41" s="20">
        <f t="shared" si="5"/>
        <v>1</v>
      </c>
      <c r="U41" s="156"/>
    </row>
    <row r="42" spans="1:21" ht="33.75" customHeight="1" x14ac:dyDescent="0.25">
      <c r="A42" s="36" t="s">
        <v>116</v>
      </c>
      <c r="B42" s="30">
        <v>10500</v>
      </c>
      <c r="C42" s="19">
        <v>5774.8756100000001</v>
      </c>
      <c r="D42" s="20">
        <f t="shared" si="0"/>
        <v>0.54998815333333329</v>
      </c>
      <c r="E42" s="19">
        <v>3331.2469099999998</v>
      </c>
      <c r="F42" s="22">
        <f t="shared" si="1"/>
        <v>0.31726161047619045</v>
      </c>
      <c r="G42" s="25">
        <v>10500</v>
      </c>
      <c r="H42" s="20">
        <v>1</v>
      </c>
      <c r="I42" s="19">
        <v>10500</v>
      </c>
      <c r="J42" s="22">
        <v>1</v>
      </c>
      <c r="K42" s="30">
        <v>8000</v>
      </c>
      <c r="L42" s="19">
        <v>6100.3974920000001</v>
      </c>
      <c r="M42" s="20">
        <f t="shared" si="8"/>
        <v>0.76254968649999999</v>
      </c>
      <c r="N42" s="19">
        <v>5909.0890909999998</v>
      </c>
      <c r="O42" s="22">
        <f t="shared" si="9"/>
        <v>0.73863613637500003</v>
      </c>
      <c r="P42" s="25">
        <v>8000</v>
      </c>
      <c r="Q42" s="20">
        <f t="shared" si="4"/>
        <v>1</v>
      </c>
      <c r="R42" s="19">
        <v>8000</v>
      </c>
      <c r="S42" s="20">
        <f t="shared" si="5"/>
        <v>1</v>
      </c>
      <c r="U42" s="156"/>
    </row>
    <row r="43" spans="1:21" ht="26.25" customHeight="1" x14ac:dyDescent="0.25">
      <c r="A43" s="36" t="s">
        <v>125</v>
      </c>
      <c r="B43" s="30">
        <v>11000</v>
      </c>
      <c r="C43" s="19">
        <v>6443</v>
      </c>
      <c r="D43" s="20">
        <f t="shared" si="0"/>
        <v>0.58572727272727276</v>
      </c>
      <c r="E43" s="19">
        <v>5533</v>
      </c>
      <c r="F43" s="22">
        <f t="shared" si="1"/>
        <v>0.503</v>
      </c>
      <c r="G43" s="25">
        <v>10050.835499500001</v>
      </c>
      <c r="H43" s="20">
        <v>0.91371231813636367</v>
      </c>
      <c r="I43" s="19">
        <v>7421.6194935476187</v>
      </c>
      <c r="J43" s="22">
        <v>0.67469268123160175</v>
      </c>
      <c r="K43" s="30">
        <v>11000</v>
      </c>
      <c r="L43" s="19">
        <v>9548.9938569999995</v>
      </c>
      <c r="M43" s="20">
        <f t="shared" si="8"/>
        <v>0.86809035063636364</v>
      </c>
      <c r="N43" s="19">
        <v>9362.4210309999999</v>
      </c>
      <c r="O43" s="22">
        <f t="shared" si="9"/>
        <v>0.85112918463636367</v>
      </c>
      <c r="P43" s="25">
        <v>11000</v>
      </c>
      <c r="Q43" s="20">
        <f t="shared" si="4"/>
        <v>1</v>
      </c>
      <c r="R43" s="19">
        <v>11000</v>
      </c>
      <c r="S43" s="20">
        <f t="shared" si="5"/>
        <v>1</v>
      </c>
      <c r="U43" s="156"/>
    </row>
    <row r="44" spans="1:21" s="14" customFormat="1" ht="27" customHeight="1" thickBot="1" x14ac:dyDescent="0.3">
      <c r="A44" s="62" t="s">
        <v>77</v>
      </c>
      <c r="B44" s="32">
        <f>+B6+B30+B38</f>
        <v>548582.71617800009</v>
      </c>
      <c r="C44" s="23">
        <f>+C6+C30+C38</f>
        <v>373679.38809753</v>
      </c>
      <c r="D44" s="12">
        <f t="shared" ref="D44" si="10">+C44/B44</f>
        <v>0.68117236850072627</v>
      </c>
      <c r="E44" s="23">
        <f>+E6+E30+E38</f>
        <v>135632.82453700001</v>
      </c>
      <c r="F44" s="13">
        <f t="shared" ref="F44" si="11">+E44/B44</f>
        <v>0.24724224904852976</v>
      </c>
      <c r="G44" s="34">
        <f>+G6+G30+G38</f>
        <v>524369.40575749998</v>
      </c>
      <c r="H44" s="12">
        <f>+G44/B44</f>
        <v>0.9558620610776889</v>
      </c>
      <c r="I44" s="23">
        <f>+I6+I30+I38</f>
        <v>275946.39325598761</v>
      </c>
      <c r="J44" s="13">
        <v>0.10275147707804901</v>
      </c>
      <c r="K44" s="32">
        <f>+K6+K30+K38</f>
        <v>542614.73830000008</v>
      </c>
      <c r="L44" s="23">
        <f>+L6+L30+L38</f>
        <v>517277.76689576998</v>
      </c>
      <c r="M44" s="12">
        <f t="shared" si="8"/>
        <v>0.95330578103423758</v>
      </c>
      <c r="N44" s="23">
        <f>+N6+N30+N38</f>
        <v>313926.75964638003</v>
      </c>
      <c r="O44" s="13">
        <f t="shared" si="9"/>
        <v>0.57854447638098738</v>
      </c>
      <c r="P44" s="34">
        <f>+P6+P30+P38</f>
        <v>541113.06276000012</v>
      </c>
      <c r="Q44" s="12">
        <f t="shared" si="4"/>
        <v>0.99723251980824423</v>
      </c>
      <c r="R44" s="23">
        <f>+R6+R30+R38</f>
        <v>534434.57642100006</v>
      </c>
      <c r="S44" s="12">
        <f t="shared" si="5"/>
        <v>0.98492454903707871</v>
      </c>
      <c r="T44" s="160"/>
      <c r="U44" s="156"/>
    </row>
    <row r="45" spans="1:21" ht="12" thickTop="1" x14ac:dyDescent="0.25">
      <c r="O45" s="161"/>
      <c r="P45" s="162"/>
      <c r="Q45" s="161"/>
      <c r="R45" s="162"/>
    </row>
    <row r="46" spans="1:21" x14ac:dyDescent="0.25">
      <c r="O46" s="11"/>
      <c r="P46" s="10"/>
      <c r="Q46" s="11"/>
    </row>
    <row r="47" spans="1:21" x14ac:dyDescent="0.25">
      <c r="O47" s="11"/>
      <c r="P47" s="10"/>
      <c r="Q47" s="11"/>
    </row>
    <row r="48" spans="1:21" x14ac:dyDescent="0.25">
      <c r="O48" s="11"/>
      <c r="P48" s="10"/>
      <c r="Q48" s="11"/>
    </row>
    <row r="49" spans="15:17" x14ac:dyDescent="0.25">
      <c r="O49" s="11"/>
      <c r="P49" s="10"/>
      <c r="Q49" s="11"/>
    </row>
    <row r="50" spans="15:17" x14ac:dyDescent="0.25">
      <c r="O50" s="11"/>
      <c r="P50" s="10"/>
      <c r="Q50" s="11"/>
    </row>
    <row r="51" spans="15:17" x14ac:dyDescent="0.25">
      <c r="O51" s="11"/>
      <c r="P51" s="10"/>
      <c r="Q51" s="11"/>
    </row>
  </sheetData>
  <autoFilter ref="A5:J44"/>
  <mergeCells count="5">
    <mergeCell ref="P4:S4"/>
    <mergeCell ref="A4:A5"/>
    <mergeCell ref="B4:F4"/>
    <mergeCell ref="G4:J4"/>
    <mergeCell ref="K4:O4"/>
  </mergeCells>
  <pageMargins left="0.70866141732283472" right="0.70866141732283472" top="0.74803149606299213" bottom="0.74803149606299213" header="0.31496062992125984" footer="0.31496062992125984"/>
  <pageSetup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sheetPr>
  <dimension ref="A1:J59"/>
  <sheetViews>
    <sheetView workbookViewId="0">
      <pane xSplit="1" ySplit="5" topLeftCell="B7" activePane="bottomRight" state="frozen"/>
      <selection pane="topRight" activeCell="C1" sqref="C1"/>
      <selection pane="bottomLeft" activeCell="A7" sqref="A7"/>
      <selection pane="bottomRight" activeCell="H1" sqref="H1:K1048576"/>
    </sheetView>
  </sheetViews>
  <sheetFormatPr baseColWidth="10" defaultRowHeight="11.25" x14ac:dyDescent="0.25"/>
  <cols>
    <col min="1" max="1" width="37.5703125" style="9" customWidth="1"/>
    <col min="2" max="2" width="13.140625" style="40" customWidth="1"/>
    <col min="3" max="3" width="16.7109375" style="40" bestFit="1" customWidth="1"/>
    <col min="4" max="4" width="14.28515625" style="40" hidden="1" customWidth="1"/>
    <col min="5" max="5" width="9.5703125" style="10" hidden="1" customWidth="1"/>
    <col min="6" max="7" width="11.42578125" style="9"/>
    <col min="8" max="11" width="0" style="9" hidden="1" customWidth="1"/>
    <col min="12" max="16384" width="11.42578125" style="9"/>
  </cols>
  <sheetData>
    <row r="1" spans="1:10" s="41" customFormat="1" ht="15" x14ac:dyDescent="0.25">
      <c r="A1" s="38" t="s">
        <v>130</v>
      </c>
      <c r="B1" s="40"/>
      <c r="C1" s="40"/>
      <c r="D1" s="40"/>
      <c r="E1" s="10"/>
    </row>
    <row r="2" spans="1:10" s="41" customFormat="1" ht="15" x14ac:dyDescent="0.25">
      <c r="A2" s="38" t="s">
        <v>270</v>
      </c>
      <c r="B2" s="40"/>
      <c r="C2" s="40"/>
      <c r="D2" s="40"/>
      <c r="E2" s="10"/>
    </row>
    <row r="3" spans="1:10" s="41" customFormat="1" ht="12" thickBot="1" x14ac:dyDescent="0.3">
      <c r="B3" s="40"/>
      <c r="C3" s="40"/>
      <c r="D3" s="40"/>
      <c r="E3" s="10"/>
    </row>
    <row r="4" spans="1:10" s="42" customFormat="1" ht="19.5" customHeight="1" thickTop="1" thickBot="1" x14ac:dyDescent="0.3">
      <c r="A4" s="167" t="s">
        <v>131</v>
      </c>
      <c r="B4" s="167"/>
      <c r="C4" s="167"/>
      <c r="D4" s="168" t="s">
        <v>278</v>
      </c>
      <c r="E4" s="168"/>
      <c r="F4" s="168" t="s">
        <v>324</v>
      </c>
      <c r="G4" s="168"/>
    </row>
    <row r="5" spans="1:10" s="42" customFormat="1" ht="35.25" thickTop="1" thickBot="1" x14ac:dyDescent="0.3">
      <c r="A5" s="43" t="s">
        <v>132</v>
      </c>
      <c r="B5" s="2" t="s">
        <v>145</v>
      </c>
      <c r="C5" s="2" t="s">
        <v>325</v>
      </c>
      <c r="D5" s="2" t="s">
        <v>81</v>
      </c>
      <c r="E5" s="3" t="s">
        <v>133</v>
      </c>
      <c r="F5" s="2" t="s">
        <v>81</v>
      </c>
      <c r="G5" s="3" t="s">
        <v>133</v>
      </c>
    </row>
    <row r="6" spans="1:10" ht="24.75" customHeight="1" thickTop="1" x14ac:dyDescent="0.25">
      <c r="A6" s="55" t="s">
        <v>1</v>
      </c>
      <c r="B6" s="44">
        <f>SUM(B7:B13)</f>
        <v>253449.89595599001</v>
      </c>
      <c r="C6" s="44">
        <f t="shared" ref="C6:D6" si="0">SUM(C7:C13)</f>
        <v>253437.41290499002</v>
      </c>
      <c r="D6" s="44">
        <f t="shared" si="0"/>
        <v>125580.9762</v>
      </c>
      <c r="E6" s="56">
        <f>+D6/B6</f>
        <v>0.49548639870740507</v>
      </c>
      <c r="F6" s="44">
        <f t="shared" ref="F6" si="1">SUM(F7:F13)</f>
        <v>186601.84528199999</v>
      </c>
      <c r="G6" s="56">
        <f>+F6/C6</f>
        <v>0.7362837362609691</v>
      </c>
      <c r="H6" s="188">
        <f>100%-G6</f>
        <v>0.2637162637390309</v>
      </c>
      <c r="I6" s="9">
        <f>F6/B6</f>
        <v>0.73624747241720012</v>
      </c>
      <c r="J6" s="189">
        <f>B6-F6</f>
        <v>66848.050673990016</v>
      </c>
    </row>
    <row r="7" spans="1:10" s="41" customFormat="1" ht="33.75" x14ac:dyDescent="0.25">
      <c r="A7" s="39" t="s">
        <v>7</v>
      </c>
      <c r="B7" s="48">
        <v>885.79172300000005</v>
      </c>
      <c r="C7" s="48">
        <v>885.79172200000005</v>
      </c>
      <c r="D7" s="49">
        <v>862.44358099999999</v>
      </c>
      <c r="E7" s="22">
        <f t="shared" ref="E7:E59" si="2">+D7/B7</f>
        <v>0.97364149901861297</v>
      </c>
      <c r="F7" s="49">
        <v>862.44358099999999</v>
      </c>
      <c r="G7" s="22">
        <f>+F7/C7</f>
        <v>0.97364150011778949</v>
      </c>
    </row>
    <row r="8" spans="1:10" s="41" customFormat="1" ht="22.5" x14ac:dyDescent="0.25">
      <c r="A8" s="39" t="s">
        <v>9</v>
      </c>
      <c r="B8" s="48">
        <v>192.58982599999999</v>
      </c>
      <c r="C8" s="48">
        <v>180.106776</v>
      </c>
      <c r="D8" s="49">
        <v>175.136686</v>
      </c>
      <c r="E8" s="22">
        <f t="shared" si="2"/>
        <v>0.90937662511829676</v>
      </c>
      <c r="F8" s="49">
        <v>175.136686</v>
      </c>
      <c r="G8" s="22">
        <f t="shared" ref="G8:G13" si="3">+F8/C8</f>
        <v>0.97240475838621421</v>
      </c>
    </row>
    <row r="9" spans="1:10" s="41" customFormat="1" ht="22.5" x14ac:dyDescent="0.25">
      <c r="A9" s="39" t="s">
        <v>11</v>
      </c>
      <c r="B9" s="48">
        <v>6560.8276580000002</v>
      </c>
      <c r="C9" s="48">
        <v>6560.8276580000002</v>
      </c>
      <c r="D9" s="49">
        <v>6126.4360049999996</v>
      </c>
      <c r="E9" s="22">
        <f t="shared" si="2"/>
        <v>0.93379011374116472</v>
      </c>
      <c r="F9" s="49">
        <v>6462.0566680000002</v>
      </c>
      <c r="G9" s="22">
        <f t="shared" si="3"/>
        <v>0.98494534605255746</v>
      </c>
    </row>
    <row r="10" spans="1:10" s="41" customFormat="1" ht="22.5" x14ac:dyDescent="0.25">
      <c r="A10" s="39" t="s">
        <v>13</v>
      </c>
      <c r="B10" s="48">
        <v>58556.603021000003</v>
      </c>
      <c r="C10" s="48">
        <v>58556.603021000003</v>
      </c>
      <c r="D10" s="49">
        <v>6234.9089569999996</v>
      </c>
      <c r="E10" s="22">
        <f>+D10/B10</f>
        <v>0.10647661639053738</v>
      </c>
      <c r="F10" s="49">
        <v>6316.1716390000001</v>
      </c>
      <c r="G10" s="22">
        <f t="shared" si="3"/>
        <v>0.10786437930381391</v>
      </c>
    </row>
    <row r="11" spans="1:10" s="41" customFormat="1" ht="22.5" x14ac:dyDescent="0.25">
      <c r="A11" s="39" t="s">
        <v>3</v>
      </c>
      <c r="B11" s="48">
        <v>133536.70871899</v>
      </c>
      <c r="C11" s="48">
        <v>133536.70871899</v>
      </c>
      <c r="D11" s="49">
        <v>73800.794473000002</v>
      </c>
      <c r="E11" s="22">
        <f t="shared" si="2"/>
        <v>0.55266297320764302</v>
      </c>
      <c r="F11" s="49">
        <v>125858.39728400001</v>
      </c>
      <c r="G11" s="22">
        <f t="shared" si="3"/>
        <v>0.94250036930932624</v>
      </c>
    </row>
    <row r="12" spans="1:10" s="41" customFormat="1" ht="22.5" x14ac:dyDescent="0.25">
      <c r="A12" s="39" t="s">
        <v>3</v>
      </c>
      <c r="B12" s="48">
        <v>44251</v>
      </c>
      <c r="C12" s="48">
        <v>44251</v>
      </c>
      <c r="D12" s="49">
        <v>36057</v>
      </c>
      <c r="E12" s="22">
        <f t="shared" si="2"/>
        <v>0.81482904341144835</v>
      </c>
      <c r="F12" s="49">
        <v>38911.983018999999</v>
      </c>
      <c r="G12" s="22">
        <f t="shared" si="3"/>
        <v>0.87934697563896858</v>
      </c>
    </row>
    <row r="13" spans="1:10" s="41" customFormat="1" ht="33.75" x14ac:dyDescent="0.25">
      <c r="A13" s="39" t="s">
        <v>5</v>
      </c>
      <c r="B13" s="48">
        <v>9466.3750089999994</v>
      </c>
      <c r="C13" s="48">
        <v>9466.3750089999994</v>
      </c>
      <c r="D13" s="49">
        <v>2324.2564980000002</v>
      </c>
      <c r="E13" s="22">
        <f t="shared" si="2"/>
        <v>0.24552761704350945</v>
      </c>
      <c r="F13" s="49">
        <v>8015.6564049999997</v>
      </c>
      <c r="G13" s="22">
        <f t="shared" si="3"/>
        <v>0.84675035558798872</v>
      </c>
    </row>
    <row r="14" spans="1:10" ht="27" customHeight="1" x14ac:dyDescent="0.25">
      <c r="A14" s="50" t="s">
        <v>16</v>
      </c>
      <c r="B14" s="45">
        <f>SUM(B15:B24)</f>
        <v>40238.045771999998</v>
      </c>
      <c r="C14" s="45">
        <f t="shared" ref="C14:D14" si="4">SUM(C15:C24)</f>
        <v>39890.197542000002</v>
      </c>
      <c r="D14" s="45">
        <f t="shared" si="4"/>
        <v>38273.464030000003</v>
      </c>
      <c r="E14" s="52">
        <f t="shared" si="2"/>
        <v>0.95117601502985849</v>
      </c>
      <c r="F14" s="45">
        <f t="shared" ref="F14" si="5">SUM(F15:F24)</f>
        <v>39879.859455000005</v>
      </c>
      <c r="G14" s="52">
        <f>+F14/C14</f>
        <v>0.99974083640500622</v>
      </c>
      <c r="H14" s="188">
        <f>100%-G14</f>
        <v>2.5916359499378316E-4</v>
      </c>
      <c r="I14" s="9">
        <f>F14/B14</f>
        <v>0.99109831727341891</v>
      </c>
    </row>
    <row r="15" spans="1:10" s="41" customFormat="1" ht="22.5" x14ac:dyDescent="0.25">
      <c r="A15" s="39" t="s">
        <v>18</v>
      </c>
      <c r="B15" s="48">
        <v>3457.2120629999999</v>
      </c>
      <c r="C15" s="48">
        <v>3457.2120629999999</v>
      </c>
      <c r="D15" s="49">
        <v>3291.6248300000002</v>
      </c>
      <c r="E15" s="22">
        <f>+D15/B15</f>
        <v>0.95210382528391646</v>
      </c>
      <c r="F15" s="49">
        <v>3457.2120629999999</v>
      </c>
      <c r="G15" s="22">
        <f>+F15/C15</f>
        <v>1</v>
      </c>
    </row>
    <row r="16" spans="1:10" s="41" customFormat="1" ht="22.5" x14ac:dyDescent="0.25">
      <c r="A16" s="39" t="s">
        <v>24</v>
      </c>
      <c r="B16" s="48">
        <v>533.44555600000001</v>
      </c>
      <c r="C16" s="48">
        <v>531.46031500000004</v>
      </c>
      <c r="D16" s="49">
        <v>531.46031500000004</v>
      </c>
      <c r="E16" s="22">
        <f t="shared" si="2"/>
        <v>0.99627845620294198</v>
      </c>
      <c r="F16" s="49">
        <v>531.46031500000004</v>
      </c>
      <c r="G16" s="22">
        <f t="shared" ref="G16:G24" si="6">+F16/C16</f>
        <v>1</v>
      </c>
    </row>
    <row r="17" spans="1:9" s="41" customFormat="1" ht="22.5" x14ac:dyDescent="0.25">
      <c r="A17" s="39" t="s">
        <v>26</v>
      </c>
      <c r="B17" s="48">
        <v>810.36864300000002</v>
      </c>
      <c r="C17" s="48">
        <v>810.36864300000002</v>
      </c>
      <c r="D17" s="49">
        <v>810.36864300000002</v>
      </c>
      <c r="E17" s="22">
        <f t="shared" si="2"/>
        <v>1</v>
      </c>
      <c r="F17" s="49">
        <v>810.36864300000002</v>
      </c>
      <c r="G17" s="22">
        <f t="shared" si="6"/>
        <v>1</v>
      </c>
    </row>
    <row r="18" spans="1:9" s="41" customFormat="1" ht="22.5" x14ac:dyDescent="0.25">
      <c r="A18" s="39" t="s">
        <v>28</v>
      </c>
      <c r="B18" s="48">
        <v>5784.9630969999998</v>
      </c>
      <c r="C18" s="48">
        <v>5615.9080979999999</v>
      </c>
      <c r="D18" s="49">
        <v>5615.9080979999999</v>
      </c>
      <c r="E18" s="22">
        <f t="shared" si="2"/>
        <v>0.97077682326311299</v>
      </c>
      <c r="F18" s="49">
        <v>5615.9080979999999</v>
      </c>
      <c r="G18" s="22">
        <f t="shared" si="6"/>
        <v>1</v>
      </c>
    </row>
    <row r="19" spans="1:9" s="41" customFormat="1" ht="22.5" x14ac:dyDescent="0.25">
      <c r="A19" s="39" t="s">
        <v>30</v>
      </c>
      <c r="B19" s="48">
        <v>624.47533699999997</v>
      </c>
      <c r="C19" s="48">
        <v>624.47533699999997</v>
      </c>
      <c r="D19" s="49">
        <v>590.61533599999996</v>
      </c>
      <c r="E19" s="22">
        <f t="shared" si="2"/>
        <v>0.94577848156075373</v>
      </c>
      <c r="F19" s="49">
        <v>624.47533599999997</v>
      </c>
      <c r="G19" s="22">
        <f t="shared" si="6"/>
        <v>0.99999999839865572</v>
      </c>
    </row>
    <row r="20" spans="1:9" s="41" customFormat="1" ht="33.75" x14ac:dyDescent="0.25">
      <c r="A20" s="39" t="s">
        <v>32</v>
      </c>
      <c r="B20" s="48">
        <v>5899.9661070000002</v>
      </c>
      <c r="C20" s="48">
        <v>5899.9661070000002</v>
      </c>
      <c r="D20" s="49">
        <v>5043.3059130000001</v>
      </c>
      <c r="E20" s="22">
        <f t="shared" si="2"/>
        <v>0.85480252285117064</v>
      </c>
      <c r="F20" s="49">
        <v>5889.6280210000004</v>
      </c>
      <c r="G20" s="22">
        <f t="shared" si="6"/>
        <v>0.99824777196809078</v>
      </c>
    </row>
    <row r="21" spans="1:9" s="41" customFormat="1" ht="22.5" x14ac:dyDescent="0.25">
      <c r="A21" s="39" t="s">
        <v>34</v>
      </c>
      <c r="B21" s="48">
        <v>5845.3096919999998</v>
      </c>
      <c r="C21" s="48">
        <v>5840.3957049999999</v>
      </c>
      <c r="D21" s="49">
        <v>5462.1364389999999</v>
      </c>
      <c r="E21" s="22">
        <f t="shared" si="2"/>
        <v>0.93444774131909247</v>
      </c>
      <c r="F21" s="49">
        <v>5840.3957049999999</v>
      </c>
      <c r="G21" s="22">
        <f t="shared" si="6"/>
        <v>1</v>
      </c>
    </row>
    <row r="22" spans="1:9" s="41" customFormat="1" ht="22.5" x14ac:dyDescent="0.25">
      <c r="A22" s="39" t="s">
        <v>37</v>
      </c>
      <c r="B22" s="48">
        <v>15401.29969</v>
      </c>
      <c r="C22" s="48">
        <v>15234.073707</v>
      </c>
      <c r="D22" s="49">
        <v>15051.706888999999</v>
      </c>
      <c r="E22" s="22">
        <f t="shared" si="2"/>
        <v>0.97730108445152908</v>
      </c>
      <c r="F22" s="49">
        <v>15234.073707</v>
      </c>
      <c r="G22" s="22">
        <f t="shared" si="6"/>
        <v>1</v>
      </c>
    </row>
    <row r="23" spans="1:9" s="41" customFormat="1" ht="23.25" customHeight="1" x14ac:dyDescent="0.25">
      <c r="A23" s="39" t="s">
        <v>20</v>
      </c>
      <c r="B23" s="48">
        <v>103.265989</v>
      </c>
      <c r="C23" s="48">
        <v>103.265989</v>
      </c>
      <c r="D23" s="49">
        <v>103.265989</v>
      </c>
      <c r="E23" s="22">
        <f t="shared" si="2"/>
        <v>1</v>
      </c>
      <c r="F23" s="49">
        <v>103.265989</v>
      </c>
      <c r="G23" s="22">
        <f t="shared" si="6"/>
        <v>1</v>
      </c>
    </row>
    <row r="24" spans="1:9" s="41" customFormat="1" ht="33.75" x14ac:dyDescent="0.25">
      <c r="A24" s="39" t="s">
        <v>22</v>
      </c>
      <c r="B24" s="48">
        <v>1777.7395979999999</v>
      </c>
      <c r="C24" s="48">
        <v>1773.071578</v>
      </c>
      <c r="D24" s="49">
        <v>1773.071578</v>
      </c>
      <c r="E24" s="22">
        <f t="shared" si="2"/>
        <v>0.99737418235761222</v>
      </c>
      <c r="F24" s="49">
        <v>1773.071578</v>
      </c>
      <c r="G24" s="22">
        <f t="shared" si="6"/>
        <v>1</v>
      </c>
    </row>
    <row r="25" spans="1:9" ht="24.75" customHeight="1" x14ac:dyDescent="0.25">
      <c r="A25" s="50" t="s">
        <v>38</v>
      </c>
      <c r="B25" s="46">
        <f>SUM(B26:B33)</f>
        <v>14592.238798000002</v>
      </c>
      <c r="C25" s="46">
        <f t="shared" ref="C25:D25" si="7">SUM(C26:C33)</f>
        <v>13766.468003999998</v>
      </c>
      <c r="D25" s="46">
        <f t="shared" si="7"/>
        <v>10678.409544999999</v>
      </c>
      <c r="E25" s="51">
        <f t="shared" si="2"/>
        <v>0.73178692405058299</v>
      </c>
      <c r="F25" s="46">
        <f t="shared" ref="F25" si="8">SUM(F26:F33)</f>
        <v>13730.791043999998</v>
      </c>
      <c r="G25" s="51">
        <f>+F25/C25</f>
        <v>0.99740841587038631</v>
      </c>
      <c r="H25" s="188">
        <f>100%-G25</f>
        <v>2.5915841296136888E-3</v>
      </c>
      <c r="I25" s="9">
        <f>F25/B25</f>
        <v>0.94096534699541279</v>
      </c>
    </row>
    <row r="26" spans="1:9" s="41" customFormat="1" ht="22.5" x14ac:dyDescent="0.25">
      <c r="A26" s="39" t="s">
        <v>40</v>
      </c>
      <c r="B26" s="48">
        <v>2539.2736030000001</v>
      </c>
      <c r="C26" s="48">
        <v>2539.2736030000001</v>
      </c>
      <c r="D26" s="49">
        <v>2087.6617030000002</v>
      </c>
      <c r="E26" s="22">
        <f t="shared" si="2"/>
        <v>0.82214917704557422</v>
      </c>
      <c r="F26" s="49">
        <v>2503.5966429999999</v>
      </c>
      <c r="G26" s="22">
        <f>+F26/C26</f>
        <v>0.98594993467507797</v>
      </c>
    </row>
    <row r="27" spans="1:9" s="41" customFormat="1" ht="22.5" x14ac:dyDescent="0.25">
      <c r="A27" s="39" t="s">
        <v>42</v>
      </c>
      <c r="B27" s="48">
        <v>2170.8420219999998</v>
      </c>
      <c r="C27" s="48">
        <v>2170.8420219999998</v>
      </c>
      <c r="D27" s="49">
        <v>1545.8186519999999</v>
      </c>
      <c r="E27" s="22">
        <f t="shared" si="2"/>
        <v>0.71208251744446838</v>
      </c>
      <c r="F27" s="49">
        <v>2170.8420219999998</v>
      </c>
      <c r="G27" s="22">
        <f t="shared" ref="G27:G33" si="9">+F27/C27</f>
        <v>1</v>
      </c>
    </row>
    <row r="28" spans="1:9" s="41" customFormat="1" ht="22.5" x14ac:dyDescent="0.25">
      <c r="A28" s="39" t="s">
        <v>44</v>
      </c>
      <c r="B28" s="48">
        <v>286.72434399999997</v>
      </c>
      <c r="C28" s="48">
        <v>286.72434399999997</v>
      </c>
      <c r="D28" s="49">
        <v>286.72434399999997</v>
      </c>
      <c r="E28" s="22">
        <f t="shared" si="2"/>
        <v>1</v>
      </c>
      <c r="F28" s="49">
        <v>286.72434399999997</v>
      </c>
      <c r="G28" s="22">
        <f t="shared" si="9"/>
        <v>1</v>
      </c>
    </row>
    <row r="29" spans="1:9" s="41" customFormat="1" ht="22.5" x14ac:dyDescent="0.25">
      <c r="A29" s="39" t="s">
        <v>46</v>
      </c>
      <c r="B29" s="48">
        <v>657.50204900000006</v>
      </c>
      <c r="C29" s="48">
        <v>657.50204900000006</v>
      </c>
      <c r="D29" s="49">
        <v>657.50204900000006</v>
      </c>
      <c r="E29" s="22">
        <f t="shared" si="2"/>
        <v>1</v>
      </c>
      <c r="F29" s="49">
        <v>657.50204900000006</v>
      </c>
      <c r="G29" s="22">
        <f t="shared" si="9"/>
        <v>1</v>
      </c>
    </row>
    <row r="30" spans="1:9" s="41" customFormat="1" ht="22.5" x14ac:dyDescent="0.25">
      <c r="A30" s="39" t="s">
        <v>48</v>
      </c>
      <c r="B30" s="48">
        <v>1564.8188</v>
      </c>
      <c r="C30" s="48">
        <v>1423.689022</v>
      </c>
      <c r="D30" s="49">
        <v>1423.689022</v>
      </c>
      <c r="E30" s="22">
        <f t="shared" si="2"/>
        <v>0.90981078575998708</v>
      </c>
      <c r="F30" s="49">
        <v>1423.689022</v>
      </c>
      <c r="G30" s="22">
        <f t="shared" si="9"/>
        <v>1</v>
      </c>
    </row>
    <row r="31" spans="1:9" s="41" customFormat="1" ht="45" x14ac:dyDescent="0.25">
      <c r="A31" s="39" t="s">
        <v>50</v>
      </c>
      <c r="B31" s="48">
        <v>3436.0274089999998</v>
      </c>
      <c r="C31" s="48">
        <v>3436.0274089999998</v>
      </c>
      <c r="D31" s="49">
        <v>3435.543713</v>
      </c>
      <c r="E31" s="22">
        <f t="shared" si="2"/>
        <v>0.99985922813108741</v>
      </c>
      <c r="F31" s="49">
        <v>3436.0274089999998</v>
      </c>
      <c r="G31" s="22">
        <f t="shared" si="9"/>
        <v>1</v>
      </c>
    </row>
    <row r="32" spans="1:9" s="41" customFormat="1" ht="22.5" x14ac:dyDescent="0.25">
      <c r="A32" s="39" t="s">
        <v>52</v>
      </c>
      <c r="B32" s="48">
        <v>2872.7707049999999</v>
      </c>
      <c r="C32" s="48">
        <v>2872.7707049999999</v>
      </c>
      <c r="D32" s="49">
        <v>861.83121200000005</v>
      </c>
      <c r="E32" s="22">
        <f t="shared" si="2"/>
        <v>0.30000000017404804</v>
      </c>
      <c r="F32" s="48">
        <v>2872.7707049999999</v>
      </c>
      <c r="G32" s="22">
        <f t="shared" si="9"/>
        <v>1</v>
      </c>
    </row>
    <row r="33" spans="1:10" s="41" customFormat="1" ht="22.5" x14ac:dyDescent="0.25">
      <c r="A33" s="39" t="s">
        <v>54</v>
      </c>
      <c r="B33" s="48">
        <v>1064.2798660000001</v>
      </c>
      <c r="C33" s="48">
        <v>379.63884999999999</v>
      </c>
      <c r="D33" s="49">
        <v>379.63884999999999</v>
      </c>
      <c r="E33" s="22">
        <f t="shared" si="2"/>
        <v>0.35670960442654842</v>
      </c>
      <c r="F33" s="49">
        <v>379.63884999999999</v>
      </c>
      <c r="G33" s="22">
        <f t="shared" si="9"/>
        <v>1</v>
      </c>
    </row>
    <row r="34" spans="1:10" ht="18.75" customHeight="1" x14ac:dyDescent="0.25">
      <c r="A34" s="50" t="s">
        <v>60</v>
      </c>
      <c r="B34" s="45">
        <f>SUM(B35:B36)</f>
        <v>2467.2845499999999</v>
      </c>
      <c r="C34" s="45">
        <f t="shared" ref="C34:D34" si="10">SUM(C35:C36)</f>
        <v>2467.2845499999999</v>
      </c>
      <c r="D34" s="45">
        <f t="shared" si="10"/>
        <v>2352.4187149999998</v>
      </c>
      <c r="E34" s="52">
        <f t="shared" si="2"/>
        <v>0.95344443144995172</v>
      </c>
      <c r="F34" s="45">
        <f t="shared" ref="F34" si="11">SUM(F35:F36)</f>
        <v>2396.418713</v>
      </c>
      <c r="G34" s="52">
        <f t="shared" ref="G34:G59" si="12">+F34/C34</f>
        <v>0.97127780133831754</v>
      </c>
      <c r="H34" s="188">
        <f>100%-G34</f>
        <v>2.8722198661682463E-2</v>
      </c>
      <c r="I34" s="9">
        <f>F34/B34</f>
        <v>0.97127780133831754</v>
      </c>
    </row>
    <row r="35" spans="1:10" s="41" customFormat="1" ht="22.5" x14ac:dyDescent="0.25">
      <c r="A35" s="39" t="s">
        <v>62</v>
      </c>
      <c r="B35" s="48">
        <v>831.96429799999999</v>
      </c>
      <c r="C35" s="48">
        <v>831.96429799999999</v>
      </c>
      <c r="D35" s="49">
        <v>829.29985699999997</v>
      </c>
      <c r="E35" s="22">
        <f t="shared" si="2"/>
        <v>0.99679740944845208</v>
      </c>
      <c r="F35" s="49">
        <v>829.29985699999997</v>
      </c>
      <c r="G35" s="22">
        <f t="shared" si="12"/>
        <v>0.99679740944845208</v>
      </c>
    </row>
    <row r="36" spans="1:10" s="41" customFormat="1" ht="23.25" customHeight="1" x14ac:dyDescent="0.25">
      <c r="A36" s="39" t="s">
        <v>64</v>
      </c>
      <c r="B36" s="48">
        <v>1635.320252</v>
      </c>
      <c r="C36" s="48">
        <v>1635.320252</v>
      </c>
      <c r="D36" s="49">
        <v>1523.118858</v>
      </c>
      <c r="E36" s="22">
        <f t="shared" si="2"/>
        <v>0.93138873326935356</v>
      </c>
      <c r="F36" s="49">
        <v>1567.1188560000001</v>
      </c>
      <c r="G36" s="22">
        <f t="shared" si="12"/>
        <v>0.95829477686918541</v>
      </c>
    </row>
    <row r="37" spans="1:10" ht="18.75" customHeight="1" x14ac:dyDescent="0.25">
      <c r="A37" s="50" t="s">
        <v>74</v>
      </c>
      <c r="B37" s="45">
        <f>+B38</f>
        <v>339.675164</v>
      </c>
      <c r="C37" s="45">
        <f t="shared" ref="C37:F37" si="13">+C38</f>
        <v>339.675164</v>
      </c>
      <c r="D37" s="45">
        <f t="shared" si="13"/>
        <v>339.15727399999997</v>
      </c>
      <c r="E37" s="52">
        <f t="shared" si="2"/>
        <v>0.99847533745505157</v>
      </c>
      <c r="F37" s="45">
        <f t="shared" si="13"/>
        <v>339.15727399999997</v>
      </c>
      <c r="G37" s="52">
        <f t="shared" si="12"/>
        <v>0.99847533745505157</v>
      </c>
      <c r="H37" s="188">
        <f>100%-G37</f>
        <v>1.5246625449484297E-3</v>
      </c>
      <c r="I37" s="9">
        <f>F37/B37</f>
        <v>0.99847533745505157</v>
      </c>
    </row>
    <row r="38" spans="1:10" s="41" customFormat="1" ht="22.5" x14ac:dyDescent="0.25">
      <c r="A38" s="39" t="s">
        <v>76</v>
      </c>
      <c r="B38" s="48">
        <v>339.675164</v>
      </c>
      <c r="C38" s="48">
        <v>339.675164</v>
      </c>
      <c r="D38" s="49">
        <v>339.15727399999997</v>
      </c>
      <c r="E38" s="22">
        <f t="shared" si="2"/>
        <v>0.99847533745505157</v>
      </c>
      <c r="F38" s="49">
        <v>339.15727399999997</v>
      </c>
      <c r="G38" s="22">
        <f t="shared" si="12"/>
        <v>0.99847533745505157</v>
      </c>
    </row>
    <row r="39" spans="1:10" ht="18.75" customHeight="1" x14ac:dyDescent="0.25">
      <c r="A39" s="50" t="s">
        <v>55</v>
      </c>
      <c r="B39" s="45">
        <f>SUM(B40:B41)</f>
        <v>4876.8028679999998</v>
      </c>
      <c r="C39" s="45">
        <f>SUM(C40:C41)</f>
        <v>4876.8028679999998</v>
      </c>
      <c r="D39" s="45">
        <f>SUM(D40:D41)</f>
        <v>4645.342592</v>
      </c>
      <c r="E39" s="52">
        <f t="shared" si="2"/>
        <v>0.95253852118592552</v>
      </c>
      <c r="F39" s="45">
        <f>SUM(F40:F41)</f>
        <v>4645.342592</v>
      </c>
      <c r="G39" s="52">
        <f t="shared" si="12"/>
        <v>0.95253852118592552</v>
      </c>
      <c r="H39" s="188">
        <f>100%-G39</f>
        <v>4.7461478814074476E-2</v>
      </c>
      <c r="I39" s="9">
        <f>F39/B39</f>
        <v>0.95253852118592552</v>
      </c>
    </row>
    <row r="40" spans="1:10" s="41" customFormat="1" ht="22.5" x14ac:dyDescent="0.25">
      <c r="A40" s="39" t="s">
        <v>57</v>
      </c>
      <c r="B40" s="48">
        <v>600.25983799999995</v>
      </c>
      <c r="C40" s="48">
        <v>600.25983799999995</v>
      </c>
      <c r="D40" s="49">
        <v>600.25983799999995</v>
      </c>
      <c r="E40" s="22">
        <f t="shared" si="2"/>
        <v>1</v>
      </c>
      <c r="F40" s="49">
        <v>600.25983799999995</v>
      </c>
      <c r="G40" s="22">
        <f t="shared" si="12"/>
        <v>1</v>
      </c>
    </row>
    <row r="41" spans="1:10" s="41" customFormat="1" ht="22.5" x14ac:dyDescent="0.25">
      <c r="A41" s="39" t="s">
        <v>59</v>
      </c>
      <c r="B41" s="48">
        <v>4276.5430299999998</v>
      </c>
      <c r="C41" s="48">
        <v>4276.5430299999998</v>
      </c>
      <c r="D41" s="49">
        <v>4045.082754</v>
      </c>
      <c r="E41" s="22">
        <f t="shared" si="2"/>
        <v>0.945876780760464</v>
      </c>
      <c r="F41" s="49">
        <v>4045.082754</v>
      </c>
      <c r="G41" s="22">
        <f t="shared" si="12"/>
        <v>0.945876780760464</v>
      </c>
    </row>
    <row r="42" spans="1:10" ht="22.5" x14ac:dyDescent="0.25">
      <c r="A42" s="50" t="s">
        <v>65</v>
      </c>
      <c r="B42" s="45">
        <f>SUM(B43)</f>
        <v>2.3205</v>
      </c>
      <c r="C42" s="45">
        <f t="shared" ref="C42:F42" si="14">SUM(C43)</f>
        <v>2.3205</v>
      </c>
      <c r="D42" s="45">
        <f t="shared" si="14"/>
        <v>2.3205</v>
      </c>
      <c r="E42" s="52">
        <f t="shared" si="2"/>
        <v>1</v>
      </c>
      <c r="F42" s="45">
        <f t="shared" si="14"/>
        <v>2.3205</v>
      </c>
      <c r="G42" s="52">
        <f t="shared" si="12"/>
        <v>1</v>
      </c>
      <c r="H42" s="188">
        <f>100%-G42</f>
        <v>0</v>
      </c>
      <c r="I42" s="186">
        <f>F42/B42</f>
        <v>1</v>
      </c>
    </row>
    <row r="43" spans="1:10" s="41" customFormat="1" ht="22.5" x14ac:dyDescent="0.25">
      <c r="A43" s="39" t="s">
        <v>67</v>
      </c>
      <c r="B43" s="48">
        <v>2.3205</v>
      </c>
      <c r="C43" s="48">
        <v>2.3205</v>
      </c>
      <c r="D43" s="49">
        <v>2.3205</v>
      </c>
      <c r="E43" s="22">
        <f t="shared" si="2"/>
        <v>1</v>
      </c>
      <c r="F43" s="49">
        <v>2.3205</v>
      </c>
      <c r="G43" s="22">
        <f t="shared" si="12"/>
        <v>1</v>
      </c>
      <c r="I43" s="187"/>
    </row>
    <row r="44" spans="1:10" ht="18.75" customHeight="1" x14ac:dyDescent="0.25">
      <c r="A44" s="50" t="s">
        <v>68</v>
      </c>
      <c r="B44" s="45">
        <f>+B45</f>
        <v>313.97927099999998</v>
      </c>
      <c r="C44" s="45">
        <f t="shared" ref="C44:F44" si="15">+C45</f>
        <v>313.77927099999999</v>
      </c>
      <c r="D44" s="45">
        <f t="shared" si="15"/>
        <v>313.77927099999999</v>
      </c>
      <c r="E44" s="52">
        <f t="shared" si="2"/>
        <v>0.99936301527370575</v>
      </c>
      <c r="F44" s="45">
        <f t="shared" si="15"/>
        <v>313.77927099999999</v>
      </c>
      <c r="G44" s="52">
        <f t="shared" si="12"/>
        <v>1</v>
      </c>
      <c r="H44" s="188">
        <f>100%-G44</f>
        <v>0</v>
      </c>
      <c r="I44" s="186">
        <f>F44/B44</f>
        <v>0.99936301527370575</v>
      </c>
    </row>
    <row r="45" spans="1:10" s="41" customFormat="1" ht="18" customHeight="1" x14ac:dyDescent="0.25">
      <c r="A45" s="39" t="s">
        <v>70</v>
      </c>
      <c r="B45" s="48">
        <v>313.97927099999998</v>
      </c>
      <c r="C45" s="48">
        <v>313.77927099999999</v>
      </c>
      <c r="D45" s="49">
        <v>313.77927099999999</v>
      </c>
      <c r="E45" s="22">
        <f t="shared" si="2"/>
        <v>0.99936301527370575</v>
      </c>
      <c r="F45" s="49">
        <v>313.77927099999999</v>
      </c>
      <c r="G45" s="22">
        <f t="shared" si="12"/>
        <v>1</v>
      </c>
      <c r="I45" s="187"/>
    </row>
    <row r="46" spans="1:10" ht="18.75" customHeight="1" x14ac:dyDescent="0.25">
      <c r="A46" s="50" t="s">
        <v>71</v>
      </c>
      <c r="B46" s="45">
        <f>+B47</f>
        <v>184.10864100000001</v>
      </c>
      <c r="C46" s="45">
        <f t="shared" ref="C46:F46" si="16">+C47</f>
        <v>184.10864100000001</v>
      </c>
      <c r="D46" s="45">
        <f t="shared" si="16"/>
        <v>184.10864100000001</v>
      </c>
      <c r="E46" s="52">
        <f t="shared" si="2"/>
        <v>1</v>
      </c>
      <c r="F46" s="45">
        <f t="shared" si="16"/>
        <v>184.10864100000001</v>
      </c>
      <c r="G46" s="52">
        <f t="shared" si="12"/>
        <v>1</v>
      </c>
      <c r="H46" s="188">
        <f>100%-G46</f>
        <v>0</v>
      </c>
      <c r="I46" s="186">
        <f>F46/B46</f>
        <v>1</v>
      </c>
    </row>
    <row r="47" spans="1:10" s="41" customFormat="1" ht="19.5" customHeight="1" x14ac:dyDescent="0.25">
      <c r="A47" s="39" t="s">
        <v>73</v>
      </c>
      <c r="B47" s="48">
        <v>184.10864100000001</v>
      </c>
      <c r="C47" s="48">
        <v>184.10864100000001</v>
      </c>
      <c r="D47" s="49">
        <v>184.10864100000001</v>
      </c>
      <c r="E47" s="22">
        <f t="shared" si="2"/>
        <v>1</v>
      </c>
      <c r="F47" s="49">
        <v>184.10864100000001</v>
      </c>
      <c r="G47" s="22">
        <f t="shared" si="12"/>
        <v>1</v>
      </c>
      <c r="I47" s="187"/>
    </row>
    <row r="48" spans="1:10" ht="18.75" customHeight="1" x14ac:dyDescent="0.25">
      <c r="A48" s="53" t="s">
        <v>77</v>
      </c>
      <c r="B48" s="47">
        <f>+B6+B14+B25+B34+B37+B39+B42+B44+B46</f>
        <v>316464.35151998996</v>
      </c>
      <c r="C48" s="47">
        <f>+C6+C14+C25+C34+C37+C39+C42+C44+C46</f>
        <v>315278.04944499</v>
      </c>
      <c r="D48" s="47">
        <f>+D6+D14+D25+D34+D37+D39+D42+D44+D46</f>
        <v>182369.97676800002</v>
      </c>
      <c r="E48" s="54">
        <f t="shared" si="2"/>
        <v>0.5762733650475016</v>
      </c>
      <c r="F48" s="47">
        <f>+F6+F14+F25+F34+F37+F39+F42+F44+F46</f>
        <v>248093.622772</v>
      </c>
      <c r="G48" s="54">
        <f t="shared" si="12"/>
        <v>0.78690420474479494</v>
      </c>
      <c r="H48" s="188">
        <f>100%-G48</f>
        <v>0.21309579525520506</v>
      </c>
      <c r="I48" s="186">
        <f>F48/B48</f>
        <v>0.78395440617686374</v>
      </c>
      <c r="J48" s="189">
        <f>B48-F48</f>
        <v>68370.728747989953</v>
      </c>
    </row>
    <row r="49" spans="1:10" ht="18.75" customHeight="1" x14ac:dyDescent="0.25">
      <c r="A49" s="50" t="s">
        <v>134</v>
      </c>
      <c r="B49" s="46">
        <f>SUM(B50:B51)</f>
        <v>191.85045099999999</v>
      </c>
      <c r="C49" s="46">
        <f t="shared" ref="C49:D49" si="17">SUM(C50:C51)</f>
        <v>191.85045099999999</v>
      </c>
      <c r="D49" s="46">
        <f t="shared" si="17"/>
        <v>106.38242</v>
      </c>
      <c r="E49" s="51">
        <f t="shared" si="2"/>
        <v>0.55450701025456539</v>
      </c>
      <c r="F49" s="46">
        <f t="shared" ref="F49" si="18">SUM(F50:F51)</f>
        <v>106.38242</v>
      </c>
      <c r="G49" s="51">
        <f t="shared" si="12"/>
        <v>0.55450701025456539</v>
      </c>
      <c r="H49" s="188">
        <f>100%-G49</f>
        <v>0.44549298974543461</v>
      </c>
      <c r="I49" s="186">
        <f>F49/B49</f>
        <v>0.55450701025456539</v>
      </c>
      <c r="J49" s="9">
        <f>J6/J48</f>
        <v>0.97772909398680785</v>
      </c>
    </row>
    <row r="50" spans="1:10" s="41" customFormat="1" ht="23.25" customHeight="1" x14ac:dyDescent="0.25">
      <c r="A50" s="39" t="s">
        <v>135</v>
      </c>
      <c r="B50" s="48">
        <v>191.72261399999999</v>
      </c>
      <c r="C50" s="48">
        <v>191.72261399999999</v>
      </c>
      <c r="D50" s="49">
        <v>106.38242</v>
      </c>
      <c r="E50" s="22">
        <f t="shared" si="2"/>
        <v>0.5548767450041131</v>
      </c>
      <c r="F50" s="49">
        <v>106.38242</v>
      </c>
      <c r="G50" s="22">
        <f t="shared" si="12"/>
        <v>0.5548767450041131</v>
      </c>
    </row>
    <row r="51" spans="1:10" s="41" customFormat="1" ht="22.5" x14ac:dyDescent="0.25">
      <c r="A51" s="39" t="s">
        <v>136</v>
      </c>
      <c r="B51" s="48">
        <v>0.12783700000000001</v>
      </c>
      <c r="C51" s="48">
        <v>0.12783700000000001</v>
      </c>
      <c r="D51" s="49">
        <v>0</v>
      </c>
      <c r="E51" s="22">
        <f t="shared" si="2"/>
        <v>0</v>
      </c>
      <c r="F51" s="49">
        <v>0</v>
      </c>
      <c r="G51" s="22">
        <f t="shared" si="12"/>
        <v>0</v>
      </c>
    </row>
    <row r="52" spans="1:10" ht="18.75" customHeight="1" x14ac:dyDescent="0.25">
      <c r="A52" s="50" t="s">
        <v>137</v>
      </c>
      <c r="B52" s="46">
        <f>SUM(B53:B54)</f>
        <v>2417.3621499999999</v>
      </c>
      <c r="C52" s="46">
        <f t="shared" ref="C52:D52" si="19">SUM(C53:C54)</f>
        <v>2327.224381</v>
      </c>
      <c r="D52" s="46">
        <f t="shared" si="19"/>
        <v>1861.919965</v>
      </c>
      <c r="E52" s="51">
        <f t="shared" si="2"/>
        <v>0.77022797970093149</v>
      </c>
      <c r="F52" s="46">
        <f t="shared" ref="F52" si="20">SUM(F53:F54)</f>
        <v>2026.3543300000001</v>
      </c>
      <c r="G52" s="51">
        <f t="shared" si="12"/>
        <v>0.87071721426761739</v>
      </c>
      <c r="H52" s="188">
        <f>100%-G52</f>
        <v>0.12928278573238261</v>
      </c>
      <c r="I52" s="186">
        <f>F52/B52</f>
        <v>0.8382502100481718</v>
      </c>
    </row>
    <row r="53" spans="1:10" s="41" customFormat="1" ht="20.25" customHeight="1" x14ac:dyDescent="0.25">
      <c r="A53" s="39" t="s">
        <v>138</v>
      </c>
      <c r="B53" s="48">
        <v>15.594799999999999</v>
      </c>
      <c r="C53" s="48">
        <v>15.594799999999999</v>
      </c>
      <c r="D53" s="49">
        <v>0</v>
      </c>
      <c r="E53" s="22">
        <f t="shared" si="2"/>
        <v>0</v>
      </c>
      <c r="F53" s="49">
        <v>3.5509810000000002</v>
      </c>
      <c r="G53" s="22">
        <f t="shared" si="12"/>
        <v>0.22770288814220127</v>
      </c>
    </row>
    <row r="54" spans="1:10" s="41" customFormat="1" ht="20.25" customHeight="1" x14ac:dyDescent="0.25">
      <c r="A54" s="39" t="s">
        <v>139</v>
      </c>
      <c r="B54" s="48">
        <v>2401.7673500000001</v>
      </c>
      <c r="C54" s="48">
        <v>2311.6295810000001</v>
      </c>
      <c r="D54" s="49">
        <v>1861.919965</v>
      </c>
      <c r="E54" s="22">
        <f t="shared" si="2"/>
        <v>0.77522910993023531</v>
      </c>
      <c r="F54" s="49">
        <v>2022.803349</v>
      </c>
      <c r="G54" s="22">
        <f t="shared" si="12"/>
        <v>0.87505514102520909</v>
      </c>
    </row>
    <row r="55" spans="1:10" ht="18.75" customHeight="1" x14ac:dyDescent="0.25">
      <c r="A55" s="50" t="s">
        <v>140</v>
      </c>
      <c r="B55" s="46">
        <f>SUM(B56:B57)</f>
        <v>95.671299869999999</v>
      </c>
      <c r="C55" s="46">
        <f t="shared" ref="C55:D55" si="21">SUM(C56:C57)</f>
        <v>95.671299869999999</v>
      </c>
      <c r="D55" s="46">
        <f t="shared" si="21"/>
        <v>59.247114000000003</v>
      </c>
      <c r="E55" s="51">
        <f t="shared" si="2"/>
        <v>0.61927781979032503</v>
      </c>
      <c r="F55" s="46">
        <f t="shared" ref="F55" si="22">SUM(F56:F57)</f>
        <v>59.247114000000003</v>
      </c>
      <c r="G55" s="51">
        <f t="shared" si="12"/>
        <v>0.61927781979032503</v>
      </c>
      <c r="H55" s="188">
        <f>100%-G55</f>
        <v>0.38072218020967497</v>
      </c>
      <c r="I55" s="186">
        <f>F55/B55</f>
        <v>0.61927781979032503</v>
      </c>
    </row>
    <row r="56" spans="1:10" s="41" customFormat="1" ht="20.25" customHeight="1" x14ac:dyDescent="0.25">
      <c r="A56" s="39" t="s">
        <v>141</v>
      </c>
      <c r="B56" s="48">
        <v>94.910115869999998</v>
      </c>
      <c r="C56" s="48">
        <v>94.910115869999998</v>
      </c>
      <c r="D56" s="49">
        <v>59.247114000000003</v>
      </c>
      <c r="E56" s="22">
        <f t="shared" si="2"/>
        <v>0.62424445968595998</v>
      </c>
      <c r="F56" s="49">
        <v>59.247114000000003</v>
      </c>
      <c r="G56" s="22">
        <f t="shared" si="12"/>
        <v>0.62424445968595998</v>
      </c>
    </row>
    <row r="57" spans="1:10" s="41" customFormat="1" ht="20.25" customHeight="1" x14ac:dyDescent="0.25">
      <c r="A57" s="39" t="s">
        <v>142</v>
      </c>
      <c r="B57" s="48">
        <v>0.76118399999999997</v>
      </c>
      <c r="C57" s="48">
        <v>0.76118399999999997</v>
      </c>
      <c r="D57" s="49">
        <v>0</v>
      </c>
      <c r="E57" s="22">
        <f t="shared" si="2"/>
        <v>0</v>
      </c>
      <c r="F57" s="49">
        <v>0</v>
      </c>
      <c r="G57" s="22">
        <f t="shared" si="12"/>
        <v>0</v>
      </c>
    </row>
    <row r="58" spans="1:10" ht="18.75" customHeight="1" x14ac:dyDescent="0.25">
      <c r="A58" s="53" t="s">
        <v>143</v>
      </c>
      <c r="B58" s="47">
        <f>+B49+B52+B55</f>
        <v>2704.8839008699997</v>
      </c>
      <c r="C58" s="47">
        <f>+C49+C52+C55</f>
        <v>2614.7461318699998</v>
      </c>
      <c r="D58" s="47">
        <f>+D49+D52+D55</f>
        <v>2027.549499</v>
      </c>
      <c r="E58" s="54">
        <f t="shared" si="2"/>
        <v>0.74958836434638043</v>
      </c>
      <c r="F58" s="47">
        <f>+F49+F52+F55</f>
        <v>2191.9838639999998</v>
      </c>
      <c r="G58" s="54">
        <f t="shared" si="12"/>
        <v>0.83831613221752765</v>
      </c>
      <c r="H58" s="188">
        <f>100%-G58</f>
        <v>0.16168386778247235</v>
      </c>
      <c r="I58" s="186">
        <f>F58/B58</f>
        <v>0.8103800178983539</v>
      </c>
    </row>
    <row r="59" spans="1:10" ht="18.75" customHeight="1" x14ac:dyDescent="0.25">
      <c r="A59" s="57" t="s">
        <v>144</v>
      </c>
      <c r="B59" s="58">
        <f>+B48+B58</f>
        <v>319169.23542085994</v>
      </c>
      <c r="C59" s="58">
        <f>+C48+C58</f>
        <v>317892.79557686002</v>
      </c>
      <c r="D59" s="58">
        <f>+D48+D58</f>
        <v>184397.52626700001</v>
      </c>
      <c r="E59" s="59">
        <f t="shared" si="2"/>
        <v>0.57774216873957629</v>
      </c>
      <c r="F59" s="58">
        <f>+F48+F58</f>
        <v>250285.60663600001</v>
      </c>
      <c r="G59" s="59">
        <f t="shared" si="12"/>
        <v>0.78732708044491062</v>
      </c>
      <c r="H59" s="188">
        <f>100%-G59</f>
        <v>0.21267291955508938</v>
      </c>
      <c r="I59" s="186">
        <f>F59/B59</f>
        <v>0.78417835699600169</v>
      </c>
    </row>
  </sheetData>
  <mergeCells count="3">
    <mergeCell ref="A4:C4"/>
    <mergeCell ref="D4:E4"/>
    <mergeCell ref="F4:G4"/>
  </mergeCells>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showGridLines="0" zoomScale="90" zoomScaleNormal="90" workbookViewId="0">
      <pane xSplit="3" ySplit="2" topLeftCell="E20" activePane="bottomRight" state="frozen"/>
      <selection pane="topRight" activeCell="D1" sqref="D1"/>
      <selection pane="bottomLeft" activeCell="A3" sqref="A3"/>
      <selection pane="bottomRight" activeCell="Z21" sqref="Z21"/>
    </sheetView>
  </sheetViews>
  <sheetFormatPr baseColWidth="10" defaultRowHeight="15" x14ac:dyDescent="0.25"/>
  <cols>
    <col min="1" max="1" width="5.140625" style="92" customWidth="1"/>
    <col min="2" max="2" width="20.140625" style="92" customWidth="1"/>
    <col min="3" max="3" width="16" style="93" customWidth="1"/>
    <col min="4" max="4" width="52.5703125" style="92" customWidth="1"/>
    <col min="5" max="5" width="20.7109375" style="92" hidden="1" customWidth="1"/>
    <col min="6" max="6" width="50.7109375" style="92" hidden="1" customWidth="1"/>
    <col min="7" max="7" width="65" style="94" hidden="1" customWidth="1"/>
    <col min="8" max="8" width="90.7109375" style="95" hidden="1" customWidth="1"/>
    <col min="9" max="9" width="17.85546875" style="93" hidden="1" customWidth="1"/>
    <col min="10" max="10" width="86.28515625" style="95" hidden="1" customWidth="1"/>
    <col min="11" max="11" width="18.85546875" style="93" hidden="1" customWidth="1"/>
    <col min="12" max="12" width="15.42578125" style="96" hidden="1" customWidth="1"/>
    <col min="13" max="13" width="11.42578125" style="92" hidden="1" customWidth="1"/>
    <col min="14" max="14" width="100.7109375" style="92" customWidth="1"/>
    <col min="15" max="15" width="24.85546875" style="92" customWidth="1"/>
    <col min="16" max="16" width="11.42578125" style="92"/>
    <col min="17" max="17" width="0" style="92" hidden="1" customWidth="1"/>
    <col min="18" max="18" width="20.85546875" style="92" hidden="1" customWidth="1"/>
    <col min="19" max="21" width="0" style="92" hidden="1" customWidth="1"/>
    <col min="22" max="16384" width="11.42578125" style="92"/>
  </cols>
  <sheetData>
    <row r="1" spans="1:20" s="63" customFormat="1" ht="32.25" customHeight="1" x14ac:dyDescent="0.25">
      <c r="A1" s="170" t="s">
        <v>146</v>
      </c>
      <c r="B1" s="171"/>
      <c r="C1" s="171"/>
      <c r="D1" s="171"/>
      <c r="E1" s="171"/>
      <c r="F1" s="171"/>
      <c r="G1" s="171"/>
      <c r="H1" s="171"/>
      <c r="I1" s="171"/>
      <c r="J1" s="171"/>
      <c r="K1" s="171"/>
      <c r="L1" s="171"/>
      <c r="M1" s="171"/>
      <c r="N1" s="171"/>
      <c r="O1" s="171"/>
      <c r="P1" s="171"/>
    </row>
    <row r="2" spans="1:20" s="64" customFormat="1" ht="42" customHeight="1" x14ac:dyDescent="0.25">
      <c r="A2" s="169" t="s">
        <v>147</v>
      </c>
      <c r="B2" s="169"/>
      <c r="C2" s="169" t="s">
        <v>148</v>
      </c>
      <c r="D2" s="169"/>
      <c r="E2" s="130" t="s">
        <v>149</v>
      </c>
      <c r="F2" s="130" t="s">
        <v>150</v>
      </c>
      <c r="G2" s="130" t="s">
        <v>151</v>
      </c>
      <c r="H2" s="130" t="s">
        <v>152</v>
      </c>
      <c r="I2" s="130" t="s">
        <v>153</v>
      </c>
      <c r="J2" s="131" t="s">
        <v>281</v>
      </c>
      <c r="K2" s="131" t="s">
        <v>279</v>
      </c>
      <c r="L2" s="130" t="s">
        <v>154</v>
      </c>
      <c r="N2" s="131" t="s">
        <v>307</v>
      </c>
      <c r="O2" s="131" t="s">
        <v>308</v>
      </c>
      <c r="P2" s="131" t="s">
        <v>154</v>
      </c>
    </row>
    <row r="3" spans="1:20" s="63" customFormat="1" ht="93.75" customHeight="1" x14ac:dyDescent="0.25">
      <c r="A3" s="65">
        <v>1</v>
      </c>
      <c r="B3" s="66" t="s">
        <v>155</v>
      </c>
      <c r="C3" s="67" t="s">
        <v>156</v>
      </c>
      <c r="D3" s="65"/>
      <c r="E3" s="68">
        <v>0.85</v>
      </c>
      <c r="F3" s="66" t="s">
        <v>157</v>
      </c>
      <c r="G3" s="69" t="s">
        <v>158</v>
      </c>
      <c r="H3" s="66" t="s">
        <v>159</v>
      </c>
      <c r="I3" s="70"/>
      <c r="J3" s="66" t="s">
        <v>282</v>
      </c>
      <c r="K3" s="70">
        <v>0.96</v>
      </c>
      <c r="L3" s="71" t="s">
        <v>160</v>
      </c>
      <c r="M3" s="147">
        <v>0.96</v>
      </c>
      <c r="N3" s="148" t="s">
        <v>282</v>
      </c>
      <c r="O3" s="147">
        <v>0.96</v>
      </c>
      <c r="P3" s="71" t="s">
        <v>160</v>
      </c>
      <c r="R3" s="147">
        <v>0.96</v>
      </c>
      <c r="T3" s="201">
        <v>0.25</v>
      </c>
    </row>
    <row r="4" spans="1:20" s="63" customFormat="1" ht="93" customHeight="1" x14ac:dyDescent="0.25">
      <c r="A4" s="65">
        <v>1</v>
      </c>
      <c r="B4" s="66" t="s">
        <v>155</v>
      </c>
      <c r="C4" s="67" t="s">
        <v>161</v>
      </c>
      <c r="D4" s="72"/>
      <c r="E4" s="73">
        <f>+(11/553159)*1000000</f>
        <v>19.885783291964881</v>
      </c>
      <c r="F4" s="74" t="s">
        <v>162</v>
      </c>
      <c r="G4" s="69" t="s">
        <v>163</v>
      </c>
      <c r="H4" s="66" t="s">
        <v>164</v>
      </c>
      <c r="I4" s="70">
        <v>0.42</v>
      </c>
      <c r="J4" s="66" t="s">
        <v>283</v>
      </c>
      <c r="K4" s="70">
        <v>0.42</v>
      </c>
      <c r="L4" s="71" t="s">
        <v>165</v>
      </c>
      <c r="M4" s="147">
        <v>0.42</v>
      </c>
      <c r="N4" s="148" t="s">
        <v>314</v>
      </c>
      <c r="O4" s="147">
        <v>1</v>
      </c>
      <c r="P4" s="71" t="s">
        <v>165</v>
      </c>
      <c r="Q4" s="63">
        <f>12.83+17.57+19.12+21.4</f>
        <v>70.919999999999987</v>
      </c>
      <c r="R4" s="147">
        <v>1</v>
      </c>
      <c r="T4" s="200">
        <v>0.23799999999999999</v>
      </c>
    </row>
    <row r="5" spans="1:20" s="63" customFormat="1" ht="409.5" x14ac:dyDescent="0.25">
      <c r="A5" s="65">
        <v>2</v>
      </c>
      <c r="B5" s="66" t="s">
        <v>166</v>
      </c>
      <c r="C5" s="67" t="s">
        <v>167</v>
      </c>
      <c r="D5" s="72"/>
      <c r="E5" s="75"/>
      <c r="F5" s="66" t="s">
        <v>168</v>
      </c>
      <c r="G5" s="69" t="s">
        <v>169</v>
      </c>
      <c r="H5" s="66" t="s">
        <v>170</v>
      </c>
      <c r="I5" s="75">
        <v>0.75</v>
      </c>
      <c r="J5" s="132" t="s">
        <v>284</v>
      </c>
      <c r="K5" s="75">
        <v>0.85</v>
      </c>
      <c r="L5" s="76" t="s">
        <v>171</v>
      </c>
      <c r="M5" s="149">
        <v>0.85</v>
      </c>
      <c r="N5" s="204" t="s">
        <v>310</v>
      </c>
      <c r="O5" s="149">
        <v>0.95</v>
      </c>
      <c r="P5" s="76" t="s">
        <v>171</v>
      </c>
      <c r="R5" s="149">
        <v>0.95</v>
      </c>
      <c r="T5" s="200">
        <v>0.14499999999999999</v>
      </c>
    </row>
    <row r="6" spans="1:20" s="63" customFormat="1" ht="69" customHeight="1" x14ac:dyDescent="0.25">
      <c r="A6" s="65">
        <v>2</v>
      </c>
      <c r="B6" s="66" t="s">
        <v>166</v>
      </c>
      <c r="C6" s="67" t="s">
        <v>172</v>
      </c>
      <c r="D6" s="72"/>
      <c r="E6" s="75">
        <v>0.7</v>
      </c>
      <c r="F6" s="66" t="s">
        <v>173</v>
      </c>
      <c r="G6" s="69" t="s">
        <v>174</v>
      </c>
      <c r="H6" s="66" t="s">
        <v>175</v>
      </c>
      <c r="I6" s="77">
        <v>0.5</v>
      </c>
      <c r="J6" s="133" t="s">
        <v>285</v>
      </c>
      <c r="K6" s="77">
        <v>0.6</v>
      </c>
      <c r="L6" s="76" t="s">
        <v>176</v>
      </c>
      <c r="M6" s="149">
        <v>0.6</v>
      </c>
      <c r="N6" s="205" t="s">
        <v>319</v>
      </c>
      <c r="O6" s="149">
        <v>0.7</v>
      </c>
      <c r="P6" s="76" t="s">
        <v>176</v>
      </c>
      <c r="R6" s="149">
        <v>0.7</v>
      </c>
      <c r="T6" s="200">
        <v>0.2243</v>
      </c>
    </row>
    <row r="7" spans="1:20" s="63" customFormat="1" ht="113.25" customHeight="1" x14ac:dyDescent="0.25">
      <c r="A7" s="65">
        <v>3</v>
      </c>
      <c r="B7" s="66" t="s">
        <v>177</v>
      </c>
      <c r="C7" s="67" t="s">
        <v>178</v>
      </c>
      <c r="D7" s="72"/>
      <c r="E7" s="75">
        <v>0</v>
      </c>
      <c r="F7" s="66" t="s">
        <v>179</v>
      </c>
      <c r="G7" s="78" t="s">
        <v>180</v>
      </c>
      <c r="H7" s="79" t="s">
        <v>181</v>
      </c>
      <c r="I7" s="75">
        <v>1</v>
      </c>
      <c r="J7" s="79" t="s">
        <v>286</v>
      </c>
      <c r="K7" s="75">
        <v>1</v>
      </c>
      <c r="L7" s="71" t="s">
        <v>160</v>
      </c>
      <c r="M7" s="149">
        <v>1</v>
      </c>
      <c r="N7" s="206" t="s">
        <v>316</v>
      </c>
      <c r="O7" s="194">
        <v>1</v>
      </c>
      <c r="P7" s="71" t="s">
        <v>160</v>
      </c>
      <c r="R7" s="194">
        <v>1</v>
      </c>
      <c r="T7" s="200">
        <v>0.23830000000000001</v>
      </c>
    </row>
    <row r="8" spans="1:20" s="63" customFormat="1" ht="329.25" customHeight="1" x14ac:dyDescent="0.25">
      <c r="A8" s="65">
        <v>3</v>
      </c>
      <c r="B8" s="66" t="s">
        <v>177</v>
      </c>
      <c r="C8" s="67" t="s">
        <v>182</v>
      </c>
      <c r="D8" s="72"/>
      <c r="E8" s="72"/>
      <c r="F8" s="66" t="s">
        <v>183</v>
      </c>
      <c r="G8" s="69" t="s">
        <v>184</v>
      </c>
      <c r="H8" s="79" t="s">
        <v>185</v>
      </c>
      <c r="I8" s="80">
        <v>0.8</v>
      </c>
      <c r="J8" s="79" t="s">
        <v>287</v>
      </c>
      <c r="K8" s="80">
        <v>0.8</v>
      </c>
      <c r="L8" s="71" t="s">
        <v>160</v>
      </c>
      <c r="M8" s="147">
        <v>0.8</v>
      </c>
      <c r="N8" s="207" t="s">
        <v>317</v>
      </c>
      <c r="O8" s="195" t="s">
        <v>315</v>
      </c>
      <c r="P8" s="71" t="s">
        <v>160</v>
      </c>
      <c r="R8" s="195" t="s">
        <v>315</v>
      </c>
      <c r="T8" s="200">
        <v>0.2</v>
      </c>
    </row>
    <row r="9" spans="1:20" s="63" customFormat="1" ht="95.25" customHeight="1" x14ac:dyDescent="0.25">
      <c r="A9" s="65">
        <v>4</v>
      </c>
      <c r="B9" s="66" t="s">
        <v>186</v>
      </c>
      <c r="C9" s="67" t="s">
        <v>187</v>
      </c>
      <c r="D9" s="72"/>
      <c r="E9" s="75"/>
      <c r="F9" s="66" t="s">
        <v>188</v>
      </c>
      <c r="G9" s="69" t="s">
        <v>189</v>
      </c>
      <c r="H9" s="66" t="s">
        <v>190</v>
      </c>
      <c r="I9" s="75">
        <v>0.65</v>
      </c>
      <c r="J9" s="66" t="s">
        <v>288</v>
      </c>
      <c r="K9" s="75">
        <v>0.65</v>
      </c>
      <c r="L9" s="76" t="s">
        <v>171</v>
      </c>
      <c r="M9" s="149">
        <v>0.65</v>
      </c>
      <c r="N9" s="148" t="s">
        <v>312</v>
      </c>
      <c r="O9" s="194">
        <v>0.65</v>
      </c>
      <c r="P9" s="76" t="s">
        <v>171</v>
      </c>
      <c r="R9" s="194">
        <v>0.65</v>
      </c>
      <c r="T9" s="200">
        <v>0.20250000000000001</v>
      </c>
    </row>
    <row r="10" spans="1:20" s="63" customFormat="1" ht="88.5" customHeight="1" x14ac:dyDescent="0.25">
      <c r="A10" s="65">
        <v>4</v>
      </c>
      <c r="B10" s="66" t="s">
        <v>186</v>
      </c>
      <c r="C10" s="67" t="s">
        <v>191</v>
      </c>
      <c r="D10" s="72"/>
      <c r="E10" s="81">
        <v>0.5</v>
      </c>
      <c r="F10" s="74" t="s">
        <v>192</v>
      </c>
      <c r="G10" s="69" t="s">
        <v>193</v>
      </c>
      <c r="H10" s="74" t="s">
        <v>194</v>
      </c>
      <c r="I10" s="77">
        <v>0.38</v>
      </c>
      <c r="J10" s="74" t="s">
        <v>289</v>
      </c>
      <c r="K10" s="77">
        <v>0.49</v>
      </c>
      <c r="L10" s="76" t="s">
        <v>195</v>
      </c>
      <c r="M10" s="149">
        <v>0.49</v>
      </c>
      <c r="N10" s="148" t="s">
        <v>311</v>
      </c>
      <c r="O10" s="149">
        <v>0.72209999999999996</v>
      </c>
      <c r="P10" s="76" t="s">
        <v>195</v>
      </c>
      <c r="R10" s="149">
        <v>0.72209999999999996</v>
      </c>
    </row>
    <row r="11" spans="1:20" s="63" customFormat="1" ht="90" customHeight="1" x14ac:dyDescent="0.25">
      <c r="A11" s="65">
        <v>5</v>
      </c>
      <c r="B11" s="66" t="s">
        <v>196</v>
      </c>
      <c r="C11" s="67" t="s">
        <v>197</v>
      </c>
      <c r="D11" s="79" t="s">
        <v>198</v>
      </c>
      <c r="E11" s="82" t="s">
        <v>199</v>
      </c>
      <c r="F11" s="79" t="s">
        <v>200</v>
      </c>
      <c r="G11" s="69" t="s">
        <v>201</v>
      </c>
      <c r="H11" s="66" t="s">
        <v>202</v>
      </c>
      <c r="I11" s="67"/>
      <c r="J11" s="66" t="s">
        <v>290</v>
      </c>
      <c r="K11" s="67"/>
      <c r="L11" s="76" t="s">
        <v>203</v>
      </c>
      <c r="M11" s="150" t="s">
        <v>302</v>
      </c>
      <c r="N11" s="148" t="s">
        <v>334</v>
      </c>
      <c r="O11" s="151" t="s">
        <v>336</v>
      </c>
      <c r="P11" s="76" t="s">
        <v>203</v>
      </c>
      <c r="R11" s="151" t="s">
        <v>336</v>
      </c>
    </row>
    <row r="12" spans="1:20" s="63" customFormat="1" ht="77.25" customHeight="1" x14ac:dyDescent="0.25">
      <c r="A12" s="65">
        <v>5</v>
      </c>
      <c r="B12" s="66" t="s">
        <v>196</v>
      </c>
      <c r="C12" s="67" t="s">
        <v>204</v>
      </c>
      <c r="D12" s="72"/>
      <c r="E12" s="82" t="s">
        <v>205</v>
      </c>
      <c r="F12" s="66" t="s">
        <v>206</v>
      </c>
      <c r="G12" s="69" t="s">
        <v>207</v>
      </c>
      <c r="H12" s="66" t="s">
        <v>208</v>
      </c>
      <c r="I12" s="83" t="s">
        <v>209</v>
      </c>
      <c r="J12" s="66" t="s">
        <v>208</v>
      </c>
      <c r="K12" s="83" t="s">
        <v>291</v>
      </c>
      <c r="L12" s="76" t="s">
        <v>203</v>
      </c>
      <c r="M12" s="150">
        <v>0.78500000000000003</v>
      </c>
      <c r="N12" s="148" t="s">
        <v>208</v>
      </c>
      <c r="O12" s="150" t="s">
        <v>291</v>
      </c>
      <c r="P12" s="76" t="s">
        <v>203</v>
      </c>
      <c r="R12" s="150" t="s">
        <v>337</v>
      </c>
    </row>
    <row r="13" spans="1:20" s="63" customFormat="1" ht="69" customHeight="1" x14ac:dyDescent="0.25">
      <c r="A13" s="65">
        <v>5</v>
      </c>
      <c r="B13" s="66" t="s">
        <v>196</v>
      </c>
      <c r="C13" s="67" t="s">
        <v>210</v>
      </c>
      <c r="D13" s="72"/>
      <c r="E13" s="77">
        <v>1</v>
      </c>
      <c r="F13" s="66" t="s">
        <v>211</v>
      </c>
      <c r="G13" s="69" t="s">
        <v>212</v>
      </c>
      <c r="H13" s="66" t="s">
        <v>213</v>
      </c>
      <c r="I13" s="84">
        <v>0.76919999999999999</v>
      </c>
      <c r="J13" s="66" t="s">
        <v>292</v>
      </c>
      <c r="K13" s="83">
        <v>0.79500000000000004</v>
      </c>
      <c r="L13" s="76" t="s">
        <v>203</v>
      </c>
      <c r="M13" s="150">
        <v>0.79500000000000004</v>
      </c>
      <c r="N13" s="148" t="s">
        <v>318</v>
      </c>
      <c r="O13" s="150">
        <v>0.87180000000000002</v>
      </c>
      <c r="P13" s="76" t="s">
        <v>203</v>
      </c>
      <c r="R13" s="150">
        <v>0.87180000000000002</v>
      </c>
    </row>
    <row r="14" spans="1:20" s="63" customFormat="1" ht="69.75" customHeight="1" x14ac:dyDescent="0.25">
      <c r="A14" s="65">
        <v>6</v>
      </c>
      <c r="B14" s="66" t="s">
        <v>214</v>
      </c>
      <c r="C14" s="67" t="s">
        <v>215</v>
      </c>
      <c r="D14" s="72" t="s">
        <v>216</v>
      </c>
      <c r="E14" s="77">
        <v>0.3</v>
      </c>
      <c r="F14" s="66" t="s">
        <v>217</v>
      </c>
      <c r="G14" s="69" t="s">
        <v>218</v>
      </c>
      <c r="H14" s="66" t="s">
        <v>219</v>
      </c>
      <c r="I14" s="75">
        <v>0.6</v>
      </c>
      <c r="J14" s="66" t="s">
        <v>218</v>
      </c>
      <c r="K14" s="134" t="s">
        <v>301</v>
      </c>
      <c r="L14" s="76" t="s">
        <v>203</v>
      </c>
      <c r="M14" s="152" t="s">
        <v>301</v>
      </c>
      <c r="N14" s="148" t="s">
        <v>335</v>
      </c>
      <c r="O14" s="152">
        <v>0.5</v>
      </c>
      <c r="P14" s="76" t="s">
        <v>203</v>
      </c>
      <c r="R14" s="152">
        <v>0.5</v>
      </c>
    </row>
    <row r="15" spans="1:20" s="63" customFormat="1" ht="57" customHeight="1" x14ac:dyDescent="0.25">
      <c r="A15" s="65">
        <v>6</v>
      </c>
      <c r="B15" s="66" t="s">
        <v>214</v>
      </c>
      <c r="C15" s="67" t="s">
        <v>220</v>
      </c>
      <c r="D15" s="72"/>
      <c r="E15" s="77">
        <v>1</v>
      </c>
      <c r="F15" s="66" t="s">
        <v>221</v>
      </c>
      <c r="G15" s="85"/>
      <c r="H15" s="86" t="s">
        <v>222</v>
      </c>
      <c r="I15" s="68">
        <v>0.71789999999999998</v>
      </c>
      <c r="J15" s="86" t="s">
        <v>293</v>
      </c>
      <c r="K15" s="135">
        <v>0.94899999999999995</v>
      </c>
      <c r="L15" s="76" t="s">
        <v>223</v>
      </c>
      <c r="M15" s="153">
        <v>0.94899999999999995</v>
      </c>
      <c r="N15" s="208" t="s">
        <v>293</v>
      </c>
      <c r="O15" s="196">
        <v>0.89800000000000002</v>
      </c>
      <c r="P15" s="76" t="s">
        <v>223</v>
      </c>
      <c r="R15" s="196">
        <v>0.89800000000000002</v>
      </c>
    </row>
    <row r="16" spans="1:20" s="63" customFormat="1" ht="90.75" customHeight="1" x14ac:dyDescent="0.25">
      <c r="A16" s="65">
        <v>6</v>
      </c>
      <c r="B16" s="66" t="s">
        <v>214</v>
      </c>
      <c r="C16" s="67" t="s">
        <v>224</v>
      </c>
      <c r="D16" s="72"/>
      <c r="E16" s="77">
        <v>0.85</v>
      </c>
      <c r="F16" s="66" t="s">
        <v>225</v>
      </c>
      <c r="G16" s="69" t="s">
        <v>226</v>
      </c>
      <c r="H16" s="66" t="s">
        <v>227</v>
      </c>
      <c r="I16" s="75">
        <v>1</v>
      </c>
      <c r="J16" s="140" t="s">
        <v>227</v>
      </c>
      <c r="K16" s="75">
        <v>1</v>
      </c>
      <c r="L16" s="76" t="s">
        <v>228</v>
      </c>
      <c r="M16" s="149">
        <v>1</v>
      </c>
      <c r="N16" s="148" t="s">
        <v>227</v>
      </c>
      <c r="O16" s="149">
        <v>1</v>
      </c>
      <c r="P16" s="76" t="s">
        <v>228</v>
      </c>
      <c r="R16" s="149">
        <v>1</v>
      </c>
    </row>
    <row r="17" spans="1:20" s="63" customFormat="1" ht="248.25" customHeight="1" x14ac:dyDescent="0.25">
      <c r="A17" s="65">
        <v>6</v>
      </c>
      <c r="B17" s="66" t="s">
        <v>214</v>
      </c>
      <c r="C17" s="67" t="s">
        <v>229</v>
      </c>
      <c r="D17" s="72"/>
      <c r="E17" s="77">
        <v>0.85</v>
      </c>
      <c r="F17" s="66" t="s">
        <v>230</v>
      </c>
      <c r="G17" s="69" t="s">
        <v>231</v>
      </c>
      <c r="H17" s="66" t="s">
        <v>232</v>
      </c>
      <c r="I17" s="77">
        <v>0.85</v>
      </c>
      <c r="J17" s="66" t="s">
        <v>294</v>
      </c>
      <c r="K17" s="77">
        <v>0.85</v>
      </c>
      <c r="L17" s="76" t="s">
        <v>233</v>
      </c>
      <c r="M17" s="149">
        <v>0.85</v>
      </c>
      <c r="N17" s="148" t="s">
        <v>320</v>
      </c>
      <c r="O17" s="149">
        <v>0.81010000000000004</v>
      </c>
      <c r="P17" s="76" t="s">
        <v>233</v>
      </c>
      <c r="R17" s="149">
        <v>0.81010000000000004</v>
      </c>
    </row>
    <row r="18" spans="1:20" s="63" customFormat="1" ht="409.5" x14ac:dyDescent="0.25">
      <c r="A18" s="65">
        <v>6</v>
      </c>
      <c r="B18" s="66" t="s">
        <v>214</v>
      </c>
      <c r="C18" s="67" t="s">
        <v>234</v>
      </c>
      <c r="D18" s="72"/>
      <c r="E18" s="87">
        <v>1</v>
      </c>
      <c r="F18" s="66" t="s">
        <v>235</v>
      </c>
      <c r="G18" s="69" t="s">
        <v>236</v>
      </c>
      <c r="H18" s="88" t="s">
        <v>237</v>
      </c>
      <c r="I18" s="75">
        <v>0.33</v>
      </c>
      <c r="J18" s="88" t="s">
        <v>295</v>
      </c>
      <c r="K18" s="75">
        <v>0.84799999999999998</v>
      </c>
      <c r="L18" s="76" t="s">
        <v>238</v>
      </c>
      <c r="M18" s="149">
        <v>0.84799999999999998</v>
      </c>
      <c r="N18" s="209" t="s">
        <v>309</v>
      </c>
      <c r="O18" s="149">
        <v>0.93</v>
      </c>
      <c r="P18" s="76" t="s">
        <v>238</v>
      </c>
      <c r="R18" s="149">
        <v>0.93</v>
      </c>
    </row>
    <row r="19" spans="1:20" s="63" customFormat="1" ht="409.5" x14ac:dyDescent="0.25">
      <c r="A19" s="65">
        <v>6</v>
      </c>
      <c r="B19" s="66" t="s">
        <v>214</v>
      </c>
      <c r="C19" s="67" t="s">
        <v>239</v>
      </c>
      <c r="D19" s="72"/>
      <c r="E19" s="75">
        <v>0.39</v>
      </c>
      <c r="F19" s="66" t="s">
        <v>240</v>
      </c>
      <c r="G19" s="85"/>
      <c r="H19" s="66" t="s">
        <v>241</v>
      </c>
      <c r="I19" s="77">
        <v>0.5</v>
      </c>
      <c r="J19" s="66" t="s">
        <v>296</v>
      </c>
      <c r="K19" s="77">
        <v>0.75</v>
      </c>
      <c r="L19" s="76" t="s">
        <v>242</v>
      </c>
      <c r="M19" s="149">
        <v>0.75</v>
      </c>
      <c r="N19" s="148" t="s">
        <v>322</v>
      </c>
      <c r="O19" s="149">
        <v>0.74</v>
      </c>
      <c r="P19" s="76" t="s">
        <v>242</v>
      </c>
      <c r="R19" s="149">
        <v>0.74</v>
      </c>
    </row>
    <row r="20" spans="1:20" s="63" customFormat="1" ht="130.5" customHeight="1" x14ac:dyDescent="0.25">
      <c r="A20" s="65">
        <v>6</v>
      </c>
      <c r="B20" s="66" t="s">
        <v>214</v>
      </c>
      <c r="C20" s="67" t="s">
        <v>243</v>
      </c>
      <c r="D20" s="72"/>
      <c r="E20" s="65">
        <v>40</v>
      </c>
      <c r="F20" s="66" t="s">
        <v>244</v>
      </c>
      <c r="G20" s="85"/>
      <c r="H20" s="66" t="s">
        <v>245</v>
      </c>
      <c r="I20" s="75">
        <v>0.5</v>
      </c>
      <c r="J20" s="66" t="s">
        <v>297</v>
      </c>
      <c r="K20" s="75">
        <v>0.75</v>
      </c>
      <c r="L20" s="76" t="s">
        <v>242</v>
      </c>
      <c r="M20" s="149">
        <v>0.75</v>
      </c>
      <c r="N20" s="148" t="s">
        <v>323</v>
      </c>
      <c r="O20" s="194">
        <v>0.75</v>
      </c>
      <c r="P20" s="76" t="s">
        <v>242</v>
      </c>
      <c r="R20" s="194">
        <v>0.75</v>
      </c>
    </row>
    <row r="21" spans="1:20" s="63" customFormat="1" ht="96.75" customHeight="1" x14ac:dyDescent="0.25">
      <c r="A21" s="65">
        <v>6</v>
      </c>
      <c r="B21" s="66" t="s">
        <v>214</v>
      </c>
      <c r="C21" s="67" t="s">
        <v>246</v>
      </c>
      <c r="D21" s="72"/>
      <c r="E21" s="75">
        <v>1</v>
      </c>
      <c r="F21" s="66" t="s">
        <v>247</v>
      </c>
      <c r="G21" s="85"/>
      <c r="H21" s="66" t="s">
        <v>248</v>
      </c>
      <c r="I21" s="75">
        <v>0.5</v>
      </c>
      <c r="J21" s="66" t="s">
        <v>298</v>
      </c>
      <c r="K21" s="75">
        <v>0.5</v>
      </c>
      <c r="L21" s="76" t="s">
        <v>249</v>
      </c>
      <c r="M21" s="149">
        <v>0.5</v>
      </c>
      <c r="N21" s="148" t="s">
        <v>298</v>
      </c>
      <c r="O21" s="149">
        <v>0.5</v>
      </c>
      <c r="P21" s="76" t="s">
        <v>249</v>
      </c>
      <c r="R21" s="149">
        <v>0.5</v>
      </c>
      <c r="T21" s="200">
        <v>0.214</v>
      </c>
    </row>
    <row r="22" spans="1:20" s="63" customFormat="1" ht="84" customHeight="1" x14ac:dyDescent="0.25">
      <c r="A22" s="65">
        <v>6</v>
      </c>
      <c r="B22" s="66" t="s">
        <v>214</v>
      </c>
      <c r="C22" s="67" t="s">
        <v>250</v>
      </c>
      <c r="D22" s="72"/>
      <c r="E22" s="75">
        <v>1</v>
      </c>
      <c r="F22" s="66" t="s">
        <v>251</v>
      </c>
      <c r="G22" s="69" t="s">
        <v>252</v>
      </c>
      <c r="H22" s="78" t="s">
        <v>253</v>
      </c>
      <c r="I22" s="75">
        <v>1</v>
      </c>
      <c r="J22" s="78" t="s">
        <v>299</v>
      </c>
      <c r="K22" s="75">
        <v>1</v>
      </c>
      <c r="L22" s="76" t="s">
        <v>238</v>
      </c>
      <c r="M22" s="149">
        <v>1</v>
      </c>
      <c r="N22" s="210" t="s">
        <v>321</v>
      </c>
      <c r="O22" s="149">
        <v>1</v>
      </c>
      <c r="P22" s="76" t="s">
        <v>238</v>
      </c>
      <c r="R22" s="149">
        <v>1</v>
      </c>
    </row>
    <row r="23" spans="1:20" s="63" customFormat="1" ht="62.25" customHeight="1" x14ac:dyDescent="0.25">
      <c r="A23" s="65">
        <v>6</v>
      </c>
      <c r="B23" s="66" t="s">
        <v>214</v>
      </c>
      <c r="C23" s="67" t="s">
        <v>254</v>
      </c>
      <c r="D23" s="72"/>
      <c r="E23" s="75">
        <v>1</v>
      </c>
      <c r="F23" s="74" t="s">
        <v>255</v>
      </c>
      <c r="G23" s="69" t="s">
        <v>256</v>
      </c>
      <c r="H23" s="66" t="s">
        <v>257</v>
      </c>
      <c r="I23" s="77">
        <v>1</v>
      </c>
      <c r="J23" s="136" t="s">
        <v>300</v>
      </c>
      <c r="K23" s="77">
        <v>1</v>
      </c>
      <c r="L23" s="76" t="s">
        <v>258</v>
      </c>
      <c r="M23" s="149">
        <v>1</v>
      </c>
      <c r="N23" s="211" t="s">
        <v>313</v>
      </c>
      <c r="O23" s="149">
        <v>1</v>
      </c>
      <c r="P23" s="76" t="s">
        <v>258</v>
      </c>
      <c r="R23" s="149">
        <v>1</v>
      </c>
    </row>
    <row r="24" spans="1:20" s="89" customFormat="1" x14ac:dyDescent="0.25">
      <c r="C24" s="90"/>
      <c r="G24" s="91"/>
      <c r="H24" s="63"/>
      <c r="I24" s="137">
        <v>0.17</v>
      </c>
      <c r="J24" s="138"/>
      <c r="K24" s="137">
        <v>0.19750000000000001</v>
      </c>
      <c r="L24" s="139"/>
      <c r="M24" s="137"/>
      <c r="N24" s="212"/>
      <c r="O24" s="137">
        <v>0.2</v>
      </c>
      <c r="P24" s="139"/>
      <c r="R24" s="197">
        <v>0.26200000000000001</v>
      </c>
    </row>
    <row r="25" spans="1:20" x14ac:dyDescent="0.25">
      <c r="R25" s="198">
        <v>0.8</v>
      </c>
    </row>
    <row r="26" spans="1:20" ht="15" customHeight="1" x14ac:dyDescent="0.25">
      <c r="I26" s="141">
        <f>68%*25%</f>
        <v>0.17</v>
      </c>
      <c r="M26" s="92">
        <f>(79%*25%)</f>
        <v>0.19750000000000001</v>
      </c>
      <c r="R26" s="199">
        <f>(80%*25%)*100</f>
        <v>20</v>
      </c>
    </row>
  </sheetData>
  <autoFilter ref="A2:L24">
    <filterColumn colId="0" showButton="0"/>
    <filterColumn colId="2" showButton="0"/>
  </autoFilter>
  <mergeCells count="3">
    <mergeCell ref="A2:B2"/>
    <mergeCell ref="C2:D2"/>
    <mergeCell ref="A1:P1"/>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G22"/>
  <sheetViews>
    <sheetView workbookViewId="0">
      <selection activeCell="A22" sqref="A22:G22"/>
    </sheetView>
  </sheetViews>
  <sheetFormatPr baseColWidth="10" defaultRowHeight="12" x14ac:dyDescent="0.2"/>
  <cols>
    <col min="1" max="1" width="51.42578125" style="122" customWidth="1"/>
    <col min="2" max="2" width="23.140625" style="122" hidden="1" customWidth="1"/>
    <col min="3" max="3" width="22.7109375" style="122" hidden="1" customWidth="1"/>
    <col min="4" max="4" width="22.140625" style="122" hidden="1" customWidth="1"/>
    <col min="5" max="5" width="16.140625" style="122" hidden="1" customWidth="1"/>
    <col min="6" max="6" width="36.28515625" style="122" customWidth="1"/>
    <col min="7" max="16384" width="11.42578125" style="122"/>
  </cols>
  <sheetData>
    <row r="1" spans="1:7" ht="21" customHeight="1" x14ac:dyDescent="0.2">
      <c r="A1" s="182" t="s">
        <v>271</v>
      </c>
      <c r="B1" s="182"/>
      <c r="C1" s="182"/>
    </row>
    <row r="2" spans="1:7" ht="12.75" thickBot="1" x14ac:dyDescent="0.25">
      <c r="A2" s="183"/>
      <c r="B2" s="183"/>
      <c r="C2" s="183"/>
    </row>
    <row r="3" spans="1:7" ht="24" customHeight="1" thickTop="1" thickBot="1" x14ac:dyDescent="0.25">
      <c r="A3" s="123" t="s">
        <v>148</v>
      </c>
      <c r="B3" s="124" t="s">
        <v>259</v>
      </c>
      <c r="C3" s="124" t="s">
        <v>260</v>
      </c>
      <c r="D3" s="124" t="s">
        <v>280</v>
      </c>
      <c r="E3" s="124" t="s">
        <v>260</v>
      </c>
      <c r="F3" s="123" t="s">
        <v>328</v>
      </c>
      <c r="G3" s="123" t="s">
        <v>260</v>
      </c>
    </row>
    <row r="4" spans="1:7" ht="40.5" customHeight="1" thickTop="1" thickBot="1" x14ac:dyDescent="0.25">
      <c r="A4" s="142" t="s">
        <v>326</v>
      </c>
      <c r="B4" s="125">
        <v>0</v>
      </c>
      <c r="C4" s="126">
        <v>0.4</v>
      </c>
      <c r="D4" s="143">
        <v>0</v>
      </c>
      <c r="E4" s="145">
        <v>0.40100000000000002</v>
      </c>
      <c r="F4" s="145">
        <v>1</v>
      </c>
      <c r="G4" s="145">
        <v>1</v>
      </c>
    </row>
    <row r="5" spans="1:7" ht="15" customHeight="1" x14ac:dyDescent="0.2">
      <c r="A5" s="177" t="s">
        <v>261</v>
      </c>
      <c r="B5" s="184">
        <v>0</v>
      </c>
      <c r="C5" s="180">
        <v>0.64700000000000002</v>
      </c>
      <c r="D5" s="192">
        <v>0.66669999999999996</v>
      </c>
      <c r="E5" s="173">
        <v>0.76500000000000001</v>
      </c>
      <c r="F5" s="173">
        <v>1</v>
      </c>
      <c r="G5" s="173">
        <v>0.82350000000000001</v>
      </c>
    </row>
    <row r="6" spans="1:7" ht="12.75" customHeight="1" thickBot="1" x14ac:dyDescent="0.25">
      <c r="A6" s="178"/>
      <c r="B6" s="184"/>
      <c r="C6" s="180"/>
      <c r="D6" s="172"/>
      <c r="E6" s="174"/>
      <c r="F6" s="174"/>
      <c r="G6" s="174"/>
    </row>
    <row r="7" spans="1:7" ht="15" customHeight="1" x14ac:dyDescent="0.2">
      <c r="A7" s="177" t="s">
        <v>262</v>
      </c>
      <c r="B7" s="179" t="s">
        <v>263</v>
      </c>
      <c r="C7" s="180">
        <v>0.96360000000000001</v>
      </c>
      <c r="D7" s="193">
        <v>0.96360000000000001</v>
      </c>
      <c r="E7" s="180">
        <v>0.96360000000000001</v>
      </c>
      <c r="F7" s="173" t="s">
        <v>303</v>
      </c>
      <c r="G7" s="180">
        <v>0.96360000000000001</v>
      </c>
    </row>
    <row r="8" spans="1:7" ht="23.25" customHeight="1" thickBot="1" x14ac:dyDescent="0.25">
      <c r="A8" s="178"/>
      <c r="B8" s="179"/>
      <c r="C8" s="180"/>
      <c r="D8" s="181"/>
      <c r="E8" s="180"/>
      <c r="F8" s="174"/>
      <c r="G8" s="180"/>
    </row>
    <row r="9" spans="1:7" ht="15" customHeight="1" x14ac:dyDescent="0.2">
      <c r="A9" s="177" t="s">
        <v>332</v>
      </c>
      <c r="B9" s="179" t="s">
        <v>264</v>
      </c>
      <c r="C9" s="180">
        <v>0.9375</v>
      </c>
      <c r="D9" s="192">
        <v>0.375</v>
      </c>
      <c r="E9" s="173">
        <v>0.97899999999999998</v>
      </c>
      <c r="F9" s="173">
        <v>0.5</v>
      </c>
      <c r="G9" s="173">
        <v>1</v>
      </c>
    </row>
    <row r="10" spans="1:7" ht="15" customHeight="1" x14ac:dyDescent="0.2">
      <c r="A10" s="185"/>
      <c r="B10" s="179"/>
      <c r="C10" s="180"/>
      <c r="D10" s="175"/>
      <c r="E10" s="176"/>
      <c r="F10" s="176"/>
      <c r="G10" s="176"/>
    </row>
    <row r="11" spans="1:7" ht="22.5" customHeight="1" thickBot="1" x14ac:dyDescent="0.25">
      <c r="A11" s="178"/>
      <c r="B11" s="179"/>
      <c r="C11" s="180"/>
      <c r="D11" s="172"/>
      <c r="E11" s="174"/>
      <c r="F11" s="174"/>
      <c r="G11" s="174"/>
    </row>
    <row r="12" spans="1:7" ht="15" customHeight="1" x14ac:dyDescent="0.2">
      <c r="A12" s="177" t="s">
        <v>265</v>
      </c>
      <c r="B12" s="179" t="s">
        <v>266</v>
      </c>
      <c r="C12" s="180">
        <v>0.2059</v>
      </c>
      <c r="D12" s="192">
        <v>0.1333</v>
      </c>
      <c r="E12" s="173">
        <v>0.23499999999999999</v>
      </c>
      <c r="F12" s="173" t="s">
        <v>304</v>
      </c>
      <c r="G12" s="173">
        <v>0.23530000000000001</v>
      </c>
    </row>
    <row r="13" spans="1:7" ht="12.75" customHeight="1" thickBot="1" x14ac:dyDescent="0.25">
      <c r="A13" s="178"/>
      <c r="B13" s="179"/>
      <c r="C13" s="180"/>
      <c r="D13" s="172"/>
      <c r="E13" s="174"/>
      <c r="F13" s="174"/>
      <c r="G13" s="174"/>
    </row>
    <row r="14" spans="1:7" ht="15" customHeight="1" x14ac:dyDescent="0.2">
      <c r="A14" s="177" t="s">
        <v>305</v>
      </c>
      <c r="B14" s="179" t="s">
        <v>267</v>
      </c>
      <c r="C14" s="180">
        <v>0.77439999999999998</v>
      </c>
      <c r="D14" s="192">
        <v>0.60109999999999997</v>
      </c>
      <c r="E14" s="173">
        <v>0.77400000000000002</v>
      </c>
      <c r="F14" s="173">
        <v>0.82599999999999996</v>
      </c>
      <c r="G14" s="173">
        <v>0.82599999999999996</v>
      </c>
    </row>
    <row r="15" spans="1:7" ht="12.75" customHeight="1" thickBot="1" x14ac:dyDescent="0.25">
      <c r="A15" s="178"/>
      <c r="B15" s="179"/>
      <c r="C15" s="180"/>
      <c r="D15" s="172"/>
      <c r="E15" s="174"/>
      <c r="F15" s="174"/>
      <c r="G15" s="174"/>
    </row>
    <row r="16" spans="1:7" ht="15" customHeight="1" x14ac:dyDescent="0.2">
      <c r="A16" s="177" t="s">
        <v>306</v>
      </c>
      <c r="B16" s="179" t="s">
        <v>268</v>
      </c>
      <c r="C16" s="180">
        <v>0.81979999999999997</v>
      </c>
      <c r="D16" s="192">
        <v>0.64049999999999996</v>
      </c>
      <c r="E16" s="173">
        <v>0.82</v>
      </c>
      <c r="F16" s="173">
        <v>0.7</v>
      </c>
      <c r="G16" s="173">
        <v>0.81979999999999997</v>
      </c>
    </row>
    <row r="17" spans="1:7" ht="12.75" customHeight="1" thickBot="1" x14ac:dyDescent="0.25">
      <c r="A17" s="178"/>
      <c r="B17" s="179"/>
      <c r="C17" s="180"/>
      <c r="D17" s="172"/>
      <c r="E17" s="174"/>
      <c r="F17" s="174"/>
      <c r="G17" s="174"/>
    </row>
    <row r="18" spans="1:7" ht="12.75" thickBot="1" x14ac:dyDescent="0.25">
      <c r="A18" s="127"/>
      <c r="B18" s="128"/>
      <c r="C18" s="129">
        <v>0.67830000000000001</v>
      </c>
      <c r="D18" s="144"/>
      <c r="E18" s="129">
        <v>0.70499999999999996</v>
      </c>
      <c r="F18" s="127"/>
      <c r="G18" s="202">
        <v>0.81</v>
      </c>
    </row>
    <row r="19" spans="1:7" ht="12.75" thickTop="1" x14ac:dyDescent="0.2">
      <c r="E19" s="146">
        <f>(70.5%*25%)</f>
        <v>0.17624999999999999</v>
      </c>
      <c r="G19" s="191">
        <f>(81%*25%)*100</f>
        <v>20.25</v>
      </c>
    </row>
    <row r="22" spans="1:7" ht="31.5" customHeight="1" x14ac:dyDescent="0.2">
      <c r="A22" s="203" t="s">
        <v>333</v>
      </c>
      <c r="B22" s="203"/>
      <c r="C22" s="203"/>
      <c r="D22" s="203"/>
      <c r="E22" s="203"/>
      <c r="F22" s="203"/>
      <c r="G22" s="203"/>
    </row>
  </sheetData>
  <mergeCells count="44">
    <mergeCell ref="A22:G22"/>
    <mergeCell ref="F12:F13"/>
    <mergeCell ref="G12:G13"/>
    <mergeCell ref="F14:F15"/>
    <mergeCell ref="G14:G15"/>
    <mergeCell ref="F16:F17"/>
    <mergeCell ref="G16:G17"/>
    <mergeCell ref="F5:F6"/>
    <mergeCell ref="G5:G6"/>
    <mergeCell ref="F7:F8"/>
    <mergeCell ref="G7:G8"/>
    <mergeCell ref="F9:F11"/>
    <mergeCell ref="G9:G11"/>
    <mergeCell ref="A1:C2"/>
    <mergeCell ref="A12:A13"/>
    <mergeCell ref="B12:B13"/>
    <mergeCell ref="C12:C13"/>
    <mergeCell ref="A5:A6"/>
    <mergeCell ref="B5:B6"/>
    <mergeCell ref="C5:C6"/>
    <mergeCell ref="A9:A11"/>
    <mergeCell ref="B9:B11"/>
    <mergeCell ref="C9:C11"/>
    <mergeCell ref="D16:D17"/>
    <mergeCell ref="E16:E17"/>
    <mergeCell ref="D14:D15"/>
    <mergeCell ref="E14:E15"/>
    <mergeCell ref="A7:A8"/>
    <mergeCell ref="B7:B8"/>
    <mergeCell ref="C7:C8"/>
    <mergeCell ref="D7:D8"/>
    <mergeCell ref="E7:E8"/>
    <mergeCell ref="A14:A15"/>
    <mergeCell ref="B14:B15"/>
    <mergeCell ref="C14:C15"/>
    <mergeCell ref="A16:A17"/>
    <mergeCell ref="B16:B17"/>
    <mergeCell ref="C16:C17"/>
    <mergeCell ref="D5:D6"/>
    <mergeCell ref="E5:E6"/>
    <mergeCell ref="D9:D11"/>
    <mergeCell ref="E9:E11"/>
    <mergeCell ref="D12:D13"/>
    <mergeCell ref="E12:E1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EC01A580DFC64B858D5549D954CE6A" ma:contentTypeVersion="3" ma:contentTypeDescription="Create a new document." ma:contentTypeScope="" ma:versionID="bd42bd8f75177258ea95e869af948591">
  <xsd:schema xmlns:xsd="http://www.w3.org/2001/XMLSchema" xmlns:xs="http://www.w3.org/2001/XMLSchema" xmlns:p="http://schemas.microsoft.com/office/2006/metadata/properties" xmlns:ns2="6f7f4dee-6573-4fec-a6e6-3d6cc2c2460a" targetNamespace="http://schemas.microsoft.com/office/2006/metadata/properties" ma:root="true" ma:fieldsID="051a257faf50d1673cf15148728ed415" ns2:_="">
    <xsd:import namespace="6f7f4dee-6573-4fec-a6e6-3d6cc2c2460a"/>
    <xsd:element name="properties">
      <xsd:complexType>
        <xsd:sequence>
          <xsd:element name="documentManagement">
            <xsd:complexType>
              <xsd:all>
                <xsd:element ref="ns2:Formato" minOccurs="0"/>
                <xsd:element ref="ns2:Filtro" minOccurs="0"/>
                <xsd:element ref="ns2:c4y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4dee-6573-4fec-a6e6-3d6cc2c2460a"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c4yw" ma:index="10" nillable="true" ma:displayName="Number" ma:internalName="c4yw">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4yw xmlns="6f7f4dee-6573-4fec-a6e6-3d6cc2c2460a" xsi:nil="true"/>
    <Formato xmlns="6f7f4dee-6573-4fec-a6e6-3d6cc2c2460a">/Style%20Library/Images/xls.svg</Formato>
    <Filtro xmlns="6f7f4dee-6573-4fec-a6e6-3d6cc2c2460a">2018</Filtro>
  </documentManagement>
</p:properties>
</file>

<file path=customXml/itemProps1.xml><?xml version="1.0" encoding="utf-8"?>
<ds:datastoreItem xmlns:ds="http://schemas.openxmlformats.org/officeDocument/2006/customXml" ds:itemID="{D81E7CCD-3502-495C-A6FA-61DB82422848}"/>
</file>

<file path=customXml/itemProps2.xml><?xml version="1.0" encoding="utf-8"?>
<ds:datastoreItem xmlns:ds="http://schemas.openxmlformats.org/officeDocument/2006/customXml" ds:itemID="{A497C218-FC71-4F40-AB19-F6E5E7512A9E}"/>
</file>

<file path=customXml/itemProps3.xml><?xml version="1.0" encoding="utf-8"?>
<ds:datastoreItem xmlns:ds="http://schemas.openxmlformats.org/officeDocument/2006/customXml" ds:itemID="{2AC52ED9-3621-4F2D-A7C5-E7BDD3C188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ANEXO 1_EP</vt:lpstr>
      <vt:lpstr>ANEXO 2_EP</vt:lpstr>
      <vt:lpstr>ANEXO 3_RESERVA</vt:lpstr>
      <vt:lpstr>ANEXO 4_PEI</vt:lpstr>
      <vt:lpstr>ANEXO 5_SINERGIA</vt:lpstr>
      <vt:lpstr>'ANEXO 1_EP'!Títulos_a_imprimir</vt:lpstr>
      <vt:lpstr>'ANEXO 2_EP'!Títulos_a_imprimir</vt:lpstr>
      <vt:lpstr>'ANEXO 3_RESERVA'!Títulos_a_imprimir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ANEXOS Cómo vamos Trimestre IV  2018</dc:title>
  <dc:creator>Patricia Zuleta Restrepo</dc:creator>
  <cp:lastModifiedBy>Cenaida Jerez Ruiz</cp:lastModifiedBy>
  <cp:lastPrinted>2019-01-31T16:45:39Z</cp:lastPrinted>
  <dcterms:created xsi:type="dcterms:W3CDTF">2018-07-25T16:34:40Z</dcterms:created>
  <dcterms:modified xsi:type="dcterms:W3CDTF">2019-02-02T02:08:40Z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0x01010059EC01A580DFC64B858D5549D954CE6A</vt:lpwstr>
  </property>
</Properties>
</file>